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7314\Desktop\"/>
    </mc:Choice>
  </mc:AlternateContent>
  <bookViews>
    <workbookView xWindow="-120" yWindow="-330" windowWidth="8475" windowHeight="9675"/>
  </bookViews>
  <sheets>
    <sheet name="Hoja1" sheetId="1" r:id="rId1"/>
    <sheet name="Hoja2" sheetId="2" r:id="rId2"/>
    <sheet name="Hoja3" sheetId="3" r:id="rId3"/>
    <sheet name="Hoja4" sheetId="4" r:id="rId4"/>
  </sheets>
  <calcPr calcId="162913"/>
</workbook>
</file>

<file path=xl/calcChain.xml><?xml version="1.0" encoding="utf-8"?>
<calcChain xmlns="http://schemas.openxmlformats.org/spreadsheetml/2006/main">
  <c r="C363" i="1" l="1"/>
  <c r="D75" i="1" l="1"/>
  <c r="D422" i="1" l="1"/>
  <c r="P424" i="1" l="1"/>
  <c r="N424" i="1"/>
  <c r="L424" i="1"/>
  <c r="P423" i="1"/>
  <c r="N423" i="1"/>
  <c r="L423" i="1"/>
  <c r="P422" i="1"/>
  <c r="N422" i="1"/>
  <c r="L422" i="1"/>
  <c r="P341" i="1"/>
  <c r="N341" i="1"/>
  <c r="L341" i="1"/>
  <c r="P332" i="1"/>
  <c r="N332" i="1"/>
  <c r="L332" i="1"/>
  <c r="P323" i="1"/>
  <c r="N323" i="1"/>
  <c r="L323" i="1"/>
  <c r="P322" i="1"/>
  <c r="N322" i="1"/>
  <c r="L322" i="1"/>
  <c r="P283" i="1"/>
  <c r="N283" i="1"/>
  <c r="L283" i="1"/>
  <c r="P271" i="1"/>
  <c r="N271" i="1"/>
  <c r="L271" i="1"/>
  <c r="P262" i="1"/>
  <c r="N262" i="1"/>
  <c r="L262" i="1"/>
  <c r="P249" i="1"/>
  <c r="N249" i="1"/>
  <c r="L249" i="1"/>
  <c r="P239" i="1"/>
  <c r="N239" i="1"/>
  <c r="L239" i="1"/>
  <c r="P224" i="1"/>
  <c r="N224" i="1"/>
  <c r="L224" i="1"/>
  <c r="P216" i="1"/>
  <c r="N216" i="1"/>
  <c r="L216" i="1"/>
  <c r="P207" i="1"/>
  <c r="N207" i="1"/>
  <c r="L207" i="1"/>
  <c r="P192" i="1"/>
  <c r="N192" i="1"/>
  <c r="L192" i="1"/>
  <c r="P139" i="1"/>
  <c r="N139" i="1"/>
  <c r="L139" i="1"/>
  <c r="P75" i="1"/>
  <c r="N75" i="1"/>
  <c r="L75" i="1"/>
  <c r="P56" i="1"/>
  <c r="N56" i="1"/>
  <c r="L56" i="1"/>
  <c r="P27" i="1"/>
  <c r="N27" i="1"/>
  <c r="L27" i="1"/>
  <c r="P9" i="1"/>
  <c r="N9" i="1"/>
  <c r="L9" i="1" l="1"/>
  <c r="E63" i="1" l="1"/>
  <c r="F63" i="1" s="1"/>
  <c r="E64" i="1"/>
  <c r="F64" i="1" s="1"/>
  <c r="E65" i="1"/>
  <c r="F65" i="1" s="1"/>
  <c r="E421" i="1" l="1"/>
  <c r="F421" i="1" s="1"/>
  <c r="E388" i="1"/>
  <c r="F388" i="1" s="1"/>
  <c r="E419" i="1" l="1"/>
  <c r="F419" i="1" s="1"/>
  <c r="E323" i="1" l="1"/>
  <c r="E322" i="1"/>
  <c r="E321" i="1"/>
  <c r="F321" i="1" s="1"/>
  <c r="F320" i="1"/>
  <c r="E320" i="1"/>
  <c r="E319" i="1"/>
  <c r="F319" i="1" s="1"/>
  <c r="E318" i="1"/>
  <c r="F318" i="1" s="1"/>
  <c r="E317" i="1"/>
  <c r="F317"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F303" i="1"/>
  <c r="E303" i="1"/>
  <c r="E302" i="1"/>
  <c r="F302" i="1" s="1"/>
  <c r="E300" i="1"/>
  <c r="F300" i="1" s="1"/>
  <c r="E299" i="1"/>
  <c r="F299" i="1" s="1"/>
  <c r="E298" i="1"/>
  <c r="F298" i="1" s="1"/>
  <c r="E297" i="1"/>
  <c r="F297" i="1" s="1"/>
  <c r="E296" i="1"/>
  <c r="F296" i="1" s="1"/>
  <c r="E295" i="1"/>
  <c r="F295" i="1" s="1"/>
  <c r="E294" i="1"/>
  <c r="F294" i="1" s="1"/>
  <c r="E292" i="1"/>
  <c r="F292" i="1" s="1"/>
  <c r="F322" i="1" l="1"/>
  <c r="O322" i="1"/>
  <c r="K322" i="1"/>
  <c r="Q322" i="1"/>
  <c r="M322" i="1"/>
  <c r="F323" i="1"/>
  <c r="K323" i="1"/>
  <c r="M323" i="1"/>
  <c r="O323" i="1"/>
  <c r="Q323" i="1"/>
  <c r="E140" i="1"/>
  <c r="F140" i="1" s="1"/>
  <c r="D139" i="1"/>
  <c r="D141" i="1" s="1"/>
  <c r="E138" i="1"/>
  <c r="F138" i="1" s="1"/>
  <c r="E137" i="1"/>
  <c r="F137" i="1" s="1"/>
  <c r="E136" i="1"/>
  <c r="F136" i="1" s="1"/>
  <c r="E135" i="1"/>
  <c r="F135" i="1" s="1"/>
  <c r="C134" i="1"/>
  <c r="E134" i="1" s="1"/>
  <c r="F134" i="1" s="1"/>
  <c r="E133" i="1"/>
  <c r="E132" i="1"/>
  <c r="E131" i="1"/>
  <c r="F131" i="1" s="1"/>
  <c r="E124" i="1"/>
  <c r="F124" i="1" s="1"/>
  <c r="E123" i="1"/>
  <c r="F123" i="1" s="1"/>
  <c r="E122" i="1"/>
  <c r="F122" i="1" s="1"/>
  <c r="E121" i="1"/>
  <c r="F121" i="1" s="1"/>
  <c r="E139" i="1" l="1"/>
  <c r="C141" i="1"/>
  <c r="C75" i="1"/>
  <c r="C422" i="1"/>
  <c r="F139" i="1" l="1"/>
  <c r="Q139" i="1"/>
  <c r="M139" i="1"/>
  <c r="O139" i="1"/>
  <c r="K139" i="1"/>
  <c r="E141" i="1"/>
  <c r="F141" i="1" s="1"/>
  <c r="D423" i="1"/>
  <c r="E236" i="1" l="1"/>
  <c r="F236" i="1" s="1"/>
  <c r="D27" i="1" l="1"/>
  <c r="E27" i="1" s="1"/>
  <c r="K27" i="1" l="1"/>
  <c r="O27" i="1"/>
  <c r="M27" i="1"/>
  <c r="Q27" i="1"/>
  <c r="F27" i="1"/>
  <c r="D192" i="1"/>
  <c r="E192" i="1" l="1"/>
  <c r="K192" i="1" l="1"/>
  <c r="O192" i="1"/>
  <c r="M192" i="1"/>
  <c r="Q192" i="1"/>
  <c r="F192" i="1"/>
  <c r="D14" i="4"/>
  <c r="B12" i="4" s="1"/>
  <c r="E12" i="4"/>
  <c r="F12" i="4" s="1"/>
  <c r="D8" i="4"/>
  <c r="E8" i="4" s="1"/>
  <c r="C426" i="1"/>
  <c r="D400" i="1"/>
  <c r="C380" i="1"/>
  <c r="D284" i="1"/>
  <c r="C284" i="1"/>
  <c r="D263" i="1"/>
  <c r="C263" i="1"/>
  <c r="D250" i="1"/>
  <c r="C217" i="1"/>
  <c r="D208" i="1"/>
  <c r="C193" i="1"/>
  <c r="I192" i="1" s="1"/>
  <c r="D113" i="1"/>
  <c r="D40" i="1"/>
  <c r="C40" i="1"/>
  <c r="C400" i="1"/>
  <c r="C392" i="1"/>
  <c r="D392" i="1"/>
  <c r="D380" i="1"/>
  <c r="C354" i="1"/>
  <c r="D354" i="1"/>
  <c r="C342" i="1"/>
  <c r="D342" i="1"/>
  <c r="C333" i="1"/>
  <c r="D333" i="1"/>
  <c r="D409" i="1"/>
  <c r="D426" i="1" s="1"/>
  <c r="D216" i="1"/>
  <c r="D217" i="1" s="1"/>
  <c r="D18" i="1"/>
  <c r="D19" i="1" s="1"/>
  <c r="D9" i="1"/>
  <c r="D19" i="4" l="1"/>
  <c r="D427" i="1"/>
  <c r="C427" i="1"/>
  <c r="E425" i="1" l="1"/>
  <c r="F425" i="1" s="1"/>
  <c r="E424" i="1"/>
  <c r="E423" i="1"/>
  <c r="E420" i="1"/>
  <c r="F420" i="1" s="1"/>
  <c r="E418" i="1"/>
  <c r="F418" i="1" s="1"/>
  <c r="E417" i="1"/>
  <c r="F417" i="1" s="1"/>
  <c r="E416" i="1"/>
  <c r="F416" i="1" s="1"/>
  <c r="E415" i="1"/>
  <c r="F415" i="1" s="1"/>
  <c r="E414" i="1"/>
  <c r="F414" i="1" s="1"/>
  <c r="E413" i="1"/>
  <c r="F413" i="1" s="1"/>
  <c r="E412" i="1"/>
  <c r="F412" i="1" s="1"/>
  <c r="E410" i="1"/>
  <c r="F410" i="1" s="1"/>
  <c r="E409" i="1"/>
  <c r="E399" i="1"/>
  <c r="E391" i="1"/>
  <c r="F391" i="1" s="1"/>
  <c r="E390" i="1"/>
  <c r="F390" i="1" s="1"/>
  <c r="E389" i="1"/>
  <c r="F389" i="1" s="1"/>
  <c r="E387" i="1"/>
  <c r="E379" i="1"/>
  <c r="F379" i="1" s="1"/>
  <c r="E378" i="1"/>
  <c r="F378" i="1" s="1"/>
  <c r="E377" i="1"/>
  <c r="F377" i="1" s="1"/>
  <c r="E376" i="1"/>
  <c r="F376" i="1" s="1"/>
  <c r="E375" i="1"/>
  <c r="F375" i="1" s="1"/>
  <c r="E373" i="1"/>
  <c r="F373" i="1" s="1"/>
  <c r="E372" i="1"/>
  <c r="F372" i="1" s="1"/>
  <c r="E371" i="1"/>
  <c r="F371" i="1" s="1"/>
  <c r="E370" i="1"/>
  <c r="E369" i="1"/>
  <c r="F369" i="1" s="1"/>
  <c r="E368" i="1"/>
  <c r="F368" i="1" s="1"/>
  <c r="E367" i="1"/>
  <c r="F367" i="1" s="1"/>
  <c r="E365" i="1"/>
  <c r="F365" i="1" s="1"/>
  <c r="E364" i="1"/>
  <c r="F364" i="1" s="1"/>
  <c r="E362" i="1"/>
  <c r="E353" i="1"/>
  <c r="F353" i="1" s="1"/>
  <c r="E352" i="1"/>
  <c r="F352" i="1" s="1"/>
  <c r="E351" i="1"/>
  <c r="E350" i="1"/>
  <c r="E282" i="1"/>
  <c r="F282" i="1" s="1"/>
  <c r="E281" i="1"/>
  <c r="F281" i="1" s="1"/>
  <c r="E280" i="1"/>
  <c r="D272" i="1"/>
  <c r="C272" i="1"/>
  <c r="E271" i="1"/>
  <c r="E262" i="1"/>
  <c r="E261" i="1"/>
  <c r="F261" i="1" s="1"/>
  <c r="E260" i="1"/>
  <c r="F260" i="1" s="1"/>
  <c r="E259" i="1"/>
  <c r="C250" i="1"/>
  <c r="E249" i="1"/>
  <c r="E248" i="1"/>
  <c r="F248" i="1" s="1"/>
  <c r="E247" i="1"/>
  <c r="D240" i="1"/>
  <c r="C240" i="1"/>
  <c r="E239" i="1"/>
  <c r="E238" i="1"/>
  <c r="F238" i="1" s="1"/>
  <c r="E237" i="1"/>
  <c r="F237" i="1" s="1"/>
  <c r="E235" i="1"/>
  <c r="F235" i="1" s="1"/>
  <c r="E234" i="1"/>
  <c r="F234" i="1" s="1"/>
  <c r="E233" i="1"/>
  <c r="F233" i="1" s="1"/>
  <c r="D225" i="1"/>
  <c r="C225" i="1"/>
  <c r="E224" i="1"/>
  <c r="E216" i="1"/>
  <c r="E215" i="1"/>
  <c r="C208" i="1"/>
  <c r="E207" i="1"/>
  <c r="E206" i="1"/>
  <c r="F206" i="1" s="1"/>
  <c r="E205" i="1"/>
  <c r="F205" i="1" s="1"/>
  <c r="E204" i="1"/>
  <c r="F204" i="1" s="1"/>
  <c r="E203" i="1"/>
  <c r="F203" i="1" s="1"/>
  <c r="E202" i="1"/>
  <c r="F202" i="1" s="1"/>
  <c r="E201" i="1"/>
  <c r="F201" i="1" s="1"/>
  <c r="E200" i="1"/>
  <c r="D193" i="1"/>
  <c r="B188" i="1"/>
  <c r="B186" i="1"/>
  <c r="B183" i="1"/>
  <c r="B181" i="1"/>
  <c r="B179" i="1"/>
  <c r="E177" i="1"/>
  <c r="F177" i="1" s="1"/>
  <c r="E168" i="1"/>
  <c r="F168" i="1" s="1"/>
  <c r="E166" i="1"/>
  <c r="F166" i="1" s="1"/>
  <c r="E165" i="1"/>
  <c r="F165" i="1" s="1"/>
  <c r="E164" i="1"/>
  <c r="F164" i="1" s="1"/>
  <c r="E161" i="1"/>
  <c r="F161" i="1" s="1"/>
  <c r="E160" i="1"/>
  <c r="F160" i="1" s="1"/>
  <c r="E159" i="1"/>
  <c r="F159" i="1" s="1"/>
  <c r="E158" i="1"/>
  <c r="F158" i="1" s="1"/>
  <c r="E157" i="1"/>
  <c r="F157" i="1" s="1"/>
  <c r="E154" i="1"/>
  <c r="F154" i="1" s="1"/>
  <c r="E153" i="1"/>
  <c r="F153" i="1" s="1"/>
  <c r="E152" i="1"/>
  <c r="F152" i="1" s="1"/>
  <c r="E151" i="1"/>
  <c r="F151" i="1" s="1"/>
  <c r="E150" i="1"/>
  <c r="C113" i="1"/>
  <c r="E112" i="1"/>
  <c r="F112" i="1" s="1"/>
  <c r="E111" i="1"/>
  <c r="F111" i="1" s="1"/>
  <c r="E110" i="1"/>
  <c r="F110" i="1" s="1"/>
  <c r="E109" i="1"/>
  <c r="F109" i="1" s="1"/>
  <c r="E108" i="1"/>
  <c r="F108" i="1" s="1"/>
  <c r="E101" i="1"/>
  <c r="F101" i="1" s="1"/>
  <c r="E100" i="1"/>
  <c r="F100" i="1" s="1"/>
  <c r="E99" i="1"/>
  <c r="F99" i="1" s="1"/>
  <c r="E98" i="1"/>
  <c r="F98" i="1" s="1"/>
  <c r="E91" i="1"/>
  <c r="F91" i="1" s="1"/>
  <c r="E90" i="1"/>
  <c r="F90" i="1" s="1"/>
  <c r="E89" i="1"/>
  <c r="F89" i="1" s="1"/>
  <c r="E82" i="1"/>
  <c r="F82" i="1" s="1"/>
  <c r="E75" i="1"/>
  <c r="E74" i="1"/>
  <c r="F74" i="1" s="1"/>
  <c r="E73" i="1"/>
  <c r="F73" i="1" s="1"/>
  <c r="E72" i="1"/>
  <c r="F72" i="1" s="1"/>
  <c r="E71" i="1"/>
  <c r="F71" i="1" s="1"/>
  <c r="E70" i="1"/>
  <c r="F70" i="1" s="1"/>
  <c r="E69" i="1"/>
  <c r="F69" i="1" s="1"/>
  <c r="E68" i="1"/>
  <c r="F68" i="1" s="1"/>
  <c r="E67" i="1"/>
  <c r="F67" i="1" s="1"/>
  <c r="E66" i="1"/>
  <c r="F66" i="1" s="1"/>
  <c r="E56" i="1"/>
  <c r="E55" i="1"/>
  <c r="F55" i="1" s="1"/>
  <c r="E54" i="1"/>
  <c r="F54" i="1" s="1"/>
  <c r="E53" i="1"/>
  <c r="F53" i="1" s="1"/>
  <c r="E52" i="1"/>
  <c r="F52" i="1" s="1"/>
  <c r="E51" i="1"/>
  <c r="F51" i="1" s="1"/>
  <c r="E50" i="1"/>
  <c r="F50" i="1" s="1"/>
  <c r="E49" i="1"/>
  <c r="F49" i="1" s="1"/>
  <c r="E48" i="1"/>
  <c r="E39" i="1"/>
  <c r="F39" i="1" s="1"/>
  <c r="E38" i="1"/>
  <c r="F38" i="1" s="1"/>
  <c r="E37" i="1"/>
  <c r="F37" i="1" s="1"/>
  <c r="E36" i="1"/>
  <c r="F36" i="1" s="1"/>
  <c r="E35" i="1"/>
  <c r="F35" i="1" s="1"/>
  <c r="E34" i="1"/>
  <c r="F34" i="1" s="1"/>
  <c r="E18" i="1"/>
  <c r="C19" i="1"/>
  <c r="C10" i="1"/>
  <c r="D10" i="1"/>
  <c r="O56" i="1" l="1"/>
  <c r="K56" i="1"/>
  <c r="M56" i="1"/>
  <c r="Q56" i="1"/>
  <c r="K271" i="1"/>
  <c r="Q271" i="1"/>
  <c r="M271" i="1"/>
  <c r="O271" i="1"/>
  <c r="Q423" i="1"/>
  <c r="M423" i="1"/>
  <c r="O423" i="1"/>
  <c r="K423" i="1"/>
  <c r="K18" i="1"/>
  <c r="Q207" i="1"/>
  <c r="M207" i="1"/>
  <c r="K207" i="1"/>
  <c r="O207" i="1"/>
  <c r="O224" i="1"/>
  <c r="K224" i="1"/>
  <c r="Q224" i="1"/>
  <c r="M224" i="1"/>
  <c r="O239" i="1"/>
  <c r="K239" i="1"/>
  <c r="M239" i="1"/>
  <c r="Q239" i="1"/>
  <c r="K424" i="1"/>
  <c r="O424" i="1"/>
  <c r="Q424" i="1"/>
  <c r="M424" i="1"/>
  <c r="Q262" i="1"/>
  <c r="M262" i="1"/>
  <c r="O262" i="1"/>
  <c r="K262" i="1"/>
  <c r="K216" i="1"/>
  <c r="O216" i="1"/>
  <c r="Q216" i="1"/>
  <c r="M216" i="1"/>
  <c r="K249" i="1"/>
  <c r="Q249" i="1"/>
  <c r="O249" i="1"/>
  <c r="M249" i="1"/>
  <c r="K75" i="1"/>
  <c r="M75" i="1"/>
  <c r="O75" i="1"/>
  <c r="Q75" i="1"/>
  <c r="J18" i="1"/>
  <c r="F216" i="1"/>
  <c r="F75" i="1"/>
  <c r="F207" i="1"/>
  <c r="F224" i="1"/>
  <c r="F249" i="1"/>
  <c r="F423" i="1"/>
  <c r="F262" i="1"/>
  <c r="F424" i="1"/>
  <c r="F56" i="1"/>
  <c r="E272" i="1"/>
  <c r="F272" i="1" s="1"/>
  <c r="F18" i="1"/>
  <c r="E19" i="1"/>
  <c r="F19" i="1" s="1"/>
  <c r="F48" i="1"/>
  <c r="E113" i="1"/>
  <c r="F113" i="1" s="1"/>
  <c r="F247" i="1"/>
  <c r="E250" i="1"/>
  <c r="F250" i="1" s="1"/>
  <c r="F200" i="1"/>
  <c r="E208" i="1"/>
  <c r="F208" i="1" s="1"/>
  <c r="F215" i="1"/>
  <c r="E217" i="1"/>
  <c r="F217" i="1" s="1"/>
  <c r="C251" i="1"/>
  <c r="F280" i="1"/>
  <c r="F387" i="1"/>
  <c r="E392" i="1"/>
  <c r="F392" i="1" s="1"/>
  <c r="F399" i="1"/>
  <c r="E400" i="1"/>
  <c r="F400" i="1" s="1"/>
  <c r="E40" i="1"/>
  <c r="F150" i="1"/>
  <c r="E193" i="1"/>
  <c r="F193" i="1" s="1"/>
  <c r="D251" i="1"/>
  <c r="F259" i="1"/>
  <c r="E263" i="1"/>
  <c r="F263" i="1" s="1"/>
  <c r="F350" i="1"/>
  <c r="E354" i="1"/>
  <c r="F354" i="1" s="1"/>
  <c r="F362" i="1"/>
  <c r="E380" i="1"/>
  <c r="F380" i="1" s="1"/>
  <c r="F409" i="1"/>
  <c r="E283" i="1"/>
  <c r="E9" i="1"/>
  <c r="E422" i="1"/>
  <c r="E332" i="1"/>
  <c r="E341" i="1"/>
  <c r="F351" i="1"/>
  <c r="E225" i="1"/>
  <c r="F225" i="1" s="1"/>
  <c r="E240" i="1"/>
  <c r="F271" i="1"/>
  <c r="F239" i="1"/>
  <c r="F370" i="1"/>
  <c r="K477" i="2"/>
  <c r="L477" i="2" s="1"/>
  <c r="K480" i="2"/>
  <c r="C386" i="2"/>
  <c r="C396" i="2"/>
  <c r="C406" i="2"/>
  <c r="C419" i="2"/>
  <c r="C446" i="2"/>
  <c r="C458" i="2"/>
  <c r="C467" i="2"/>
  <c r="C494" i="2"/>
  <c r="N434" i="2"/>
  <c r="O434" i="2" s="1"/>
  <c r="K434" i="2"/>
  <c r="L434" i="2" s="1"/>
  <c r="N442" i="2"/>
  <c r="O442" i="2" s="1"/>
  <c r="K442" i="2"/>
  <c r="L442" i="2" s="1"/>
  <c r="N487" i="2"/>
  <c r="O487" i="2" s="1"/>
  <c r="K487" i="2"/>
  <c r="L487" i="2" s="1"/>
  <c r="N486" i="2"/>
  <c r="O486" i="2" s="1"/>
  <c r="K486" i="2"/>
  <c r="L486" i="2" s="1"/>
  <c r="N485" i="2"/>
  <c r="O485" i="2" s="1"/>
  <c r="K485" i="2"/>
  <c r="L485" i="2" s="1"/>
  <c r="N484" i="2"/>
  <c r="O484" i="2" s="1"/>
  <c r="K484" i="2"/>
  <c r="L484" i="2" s="1"/>
  <c r="N429" i="2"/>
  <c r="O429" i="2" s="1"/>
  <c r="K429" i="2"/>
  <c r="L429" i="2" s="1"/>
  <c r="N416" i="2"/>
  <c r="O416" i="2" s="1"/>
  <c r="K416" i="2"/>
  <c r="L416" i="2" s="1"/>
  <c r="N370" i="2"/>
  <c r="O370" i="2" s="1"/>
  <c r="K370" i="2"/>
  <c r="L370" i="2" s="1"/>
  <c r="N369" i="2"/>
  <c r="O369" i="2" s="1"/>
  <c r="K369" i="2"/>
  <c r="L369" i="2" s="1"/>
  <c r="N368" i="2"/>
  <c r="O368" i="2" s="1"/>
  <c r="K368" i="2"/>
  <c r="L368" i="2" s="1"/>
  <c r="N367" i="2"/>
  <c r="O367" i="2" s="1"/>
  <c r="K367" i="2"/>
  <c r="L367" i="2" s="1"/>
  <c r="N366" i="2"/>
  <c r="O366" i="2" s="1"/>
  <c r="K366" i="2"/>
  <c r="L366" i="2" s="1"/>
  <c r="N365" i="2"/>
  <c r="O365" i="2" s="1"/>
  <c r="K365" i="2"/>
  <c r="L365" i="2" s="1"/>
  <c r="N364" i="2"/>
  <c r="O364" i="2" s="1"/>
  <c r="K364" i="2"/>
  <c r="L364" i="2" s="1"/>
  <c r="N363" i="2"/>
  <c r="O363" i="2" s="1"/>
  <c r="K363" i="2"/>
  <c r="L363" i="2" s="1"/>
  <c r="N362" i="2"/>
  <c r="O362" i="2" s="1"/>
  <c r="K362" i="2"/>
  <c r="L362" i="2" s="1"/>
  <c r="N361" i="2"/>
  <c r="O361" i="2" s="1"/>
  <c r="K361" i="2"/>
  <c r="L361" i="2" s="1"/>
  <c r="N360" i="2"/>
  <c r="O360" i="2" s="1"/>
  <c r="K360" i="2"/>
  <c r="L360" i="2" s="1"/>
  <c r="N349" i="2"/>
  <c r="O349" i="2" s="1"/>
  <c r="K349" i="2"/>
  <c r="L349" i="2" s="1"/>
  <c r="N348" i="2"/>
  <c r="O348" i="2" s="1"/>
  <c r="K348" i="2"/>
  <c r="L348" i="2" s="1"/>
  <c r="N347" i="2"/>
  <c r="O347" i="2" s="1"/>
  <c r="K347" i="2"/>
  <c r="L347" i="2" s="1"/>
  <c r="N346" i="2"/>
  <c r="O346" i="2" s="1"/>
  <c r="K346" i="2"/>
  <c r="L346" i="2" s="1"/>
  <c r="N345" i="2"/>
  <c r="O345" i="2" s="1"/>
  <c r="K345" i="2"/>
  <c r="L345" i="2" s="1"/>
  <c r="N344" i="2"/>
  <c r="O344" i="2" s="1"/>
  <c r="K344" i="2"/>
  <c r="L344" i="2" s="1"/>
  <c r="N343" i="2"/>
  <c r="O343" i="2" s="1"/>
  <c r="K343" i="2"/>
  <c r="L343" i="2" s="1"/>
  <c r="N342" i="2"/>
  <c r="O342" i="2" s="1"/>
  <c r="K342" i="2"/>
  <c r="L342" i="2" s="1"/>
  <c r="N327" i="2"/>
  <c r="O327" i="2" s="1"/>
  <c r="K327" i="2"/>
  <c r="L327" i="2" s="1"/>
  <c r="N326" i="2"/>
  <c r="O326" i="2" s="1"/>
  <c r="K326" i="2"/>
  <c r="L326" i="2" s="1"/>
  <c r="N304" i="2"/>
  <c r="O304" i="2" s="1"/>
  <c r="K304" i="2"/>
  <c r="L304" i="2" s="1"/>
  <c r="N303" i="2"/>
  <c r="O303" i="2" s="1"/>
  <c r="K303" i="2"/>
  <c r="L303" i="2" s="1"/>
  <c r="M292" i="2"/>
  <c r="C292" i="2"/>
  <c r="N291" i="2"/>
  <c r="O291" i="2" s="1"/>
  <c r="K291" i="2"/>
  <c r="L291" i="2" s="1"/>
  <c r="N290" i="2"/>
  <c r="O290" i="2" s="1"/>
  <c r="K290" i="2"/>
  <c r="L290" i="2" s="1"/>
  <c r="N289" i="2"/>
  <c r="O289" i="2" s="1"/>
  <c r="K289" i="2"/>
  <c r="L289" i="2" s="1"/>
  <c r="N288" i="2"/>
  <c r="O288" i="2" s="1"/>
  <c r="K288" i="2"/>
  <c r="L288" i="2" s="1"/>
  <c r="K286" i="2"/>
  <c r="L286" i="2" s="1"/>
  <c r="N286" i="2"/>
  <c r="O286" i="2" s="1"/>
  <c r="K287" i="2"/>
  <c r="L287" i="2" s="1"/>
  <c r="N287" i="2"/>
  <c r="O287" i="2" s="1"/>
  <c r="C278" i="2"/>
  <c r="N273" i="2"/>
  <c r="O273" i="2" s="1"/>
  <c r="K273" i="2"/>
  <c r="L273" i="2" s="1"/>
  <c r="N272" i="2"/>
  <c r="O272" i="2" s="1"/>
  <c r="K272" i="2"/>
  <c r="L272" i="2" s="1"/>
  <c r="N271" i="2"/>
  <c r="O271" i="2" s="1"/>
  <c r="K271" i="2"/>
  <c r="L271" i="2" s="1"/>
  <c r="C252" i="2"/>
  <c r="N236" i="2"/>
  <c r="O236" i="2" s="1"/>
  <c r="K236" i="2"/>
  <c r="L236" i="2" s="1"/>
  <c r="N235" i="2"/>
  <c r="O235" i="2" s="1"/>
  <c r="K235" i="2"/>
  <c r="L235" i="2" s="1"/>
  <c r="N219" i="2"/>
  <c r="O219" i="2" s="1"/>
  <c r="K219" i="2"/>
  <c r="L219" i="2" s="1"/>
  <c r="N218" i="2"/>
  <c r="O218" i="2" s="1"/>
  <c r="K218" i="2"/>
  <c r="L218" i="2" s="1"/>
  <c r="N217" i="2"/>
  <c r="O217" i="2" s="1"/>
  <c r="K217" i="2"/>
  <c r="L217" i="2" s="1"/>
  <c r="N216" i="2"/>
  <c r="O216" i="2" s="1"/>
  <c r="K216" i="2"/>
  <c r="L216" i="2" s="1"/>
  <c r="N215" i="2"/>
  <c r="O215" i="2" s="1"/>
  <c r="K215" i="2"/>
  <c r="L215" i="2" s="1"/>
  <c r="N214" i="2"/>
  <c r="O214" i="2" s="1"/>
  <c r="K214" i="2"/>
  <c r="L214" i="2" s="1"/>
  <c r="N213" i="2"/>
  <c r="O213" i="2" s="1"/>
  <c r="K213" i="2"/>
  <c r="L213" i="2" s="1"/>
  <c r="N212" i="2"/>
  <c r="O212" i="2" s="1"/>
  <c r="K212" i="2"/>
  <c r="L212" i="2" s="1"/>
  <c r="N211" i="2"/>
  <c r="O211" i="2" s="1"/>
  <c r="K211" i="2"/>
  <c r="L211" i="2" s="1"/>
  <c r="N210" i="2"/>
  <c r="O210" i="2" s="1"/>
  <c r="K210" i="2"/>
  <c r="L210" i="2" s="1"/>
  <c r="K201" i="2"/>
  <c r="L201" i="2" s="1"/>
  <c r="K200" i="2"/>
  <c r="L200" i="2" s="1"/>
  <c r="K199" i="2"/>
  <c r="L199" i="2" s="1"/>
  <c r="K198" i="2"/>
  <c r="L198" i="2" s="1"/>
  <c r="C164" i="2"/>
  <c r="C171" i="2" s="1"/>
  <c r="C140" i="2"/>
  <c r="K129" i="2"/>
  <c r="N129" i="2"/>
  <c r="O129" i="2" s="1"/>
  <c r="N128" i="2"/>
  <c r="O128" i="2" s="1"/>
  <c r="K128" i="2"/>
  <c r="L128" i="2" s="1"/>
  <c r="N127" i="2"/>
  <c r="O127" i="2" s="1"/>
  <c r="K127" i="2"/>
  <c r="L127" i="2" s="1"/>
  <c r="C40" i="2"/>
  <c r="N40" i="2" s="1"/>
  <c r="O40" i="2" s="1"/>
  <c r="K40" i="2"/>
  <c r="K41" i="2"/>
  <c r="L41" i="2" s="1"/>
  <c r="N41" i="2"/>
  <c r="O41" i="2" s="1"/>
  <c r="K55" i="2"/>
  <c r="L55" i="2" s="1"/>
  <c r="N55" i="2"/>
  <c r="O55" i="2" s="1"/>
  <c r="C29" i="2"/>
  <c r="N29" i="2" s="1"/>
  <c r="O29" i="2" s="1"/>
  <c r="K493" i="2"/>
  <c r="N492" i="2"/>
  <c r="O492" i="2" s="1"/>
  <c r="K492" i="2"/>
  <c r="L492" i="2" s="1"/>
  <c r="N491" i="2"/>
  <c r="O491" i="2" s="1"/>
  <c r="K491" i="2"/>
  <c r="L491" i="2" s="1"/>
  <c r="N490" i="2"/>
  <c r="O490" i="2" s="1"/>
  <c r="K490" i="2"/>
  <c r="L490" i="2" s="1"/>
  <c r="N489" i="2"/>
  <c r="O489" i="2" s="1"/>
  <c r="K489" i="2"/>
  <c r="L489" i="2" s="1"/>
  <c r="N488" i="2"/>
  <c r="O488" i="2" s="1"/>
  <c r="K488" i="2"/>
  <c r="L488" i="2" s="1"/>
  <c r="N483" i="2"/>
  <c r="O483" i="2" s="1"/>
  <c r="K483" i="2"/>
  <c r="L483" i="2" s="1"/>
  <c r="N482" i="2"/>
  <c r="O482" i="2" s="1"/>
  <c r="K482" i="2"/>
  <c r="L482" i="2" s="1"/>
  <c r="N480" i="2"/>
  <c r="O480" i="2" s="1"/>
  <c r="L480" i="2"/>
  <c r="N478" i="2"/>
  <c r="O478" i="2" s="1"/>
  <c r="K478" i="2"/>
  <c r="L478" i="2" s="1"/>
  <c r="N477" i="2"/>
  <c r="O477" i="2" s="1"/>
  <c r="K466" i="2"/>
  <c r="N457" i="2"/>
  <c r="O457" i="2" s="1"/>
  <c r="K457" i="2"/>
  <c r="L457" i="2" s="1"/>
  <c r="N456" i="2"/>
  <c r="O456" i="2" s="1"/>
  <c r="K456" i="2"/>
  <c r="L456" i="2" s="1"/>
  <c r="N455" i="2"/>
  <c r="O455" i="2" s="1"/>
  <c r="K455" i="2"/>
  <c r="L455" i="2" s="1"/>
  <c r="N454" i="2"/>
  <c r="O454" i="2" s="1"/>
  <c r="K454" i="2"/>
  <c r="L454" i="2" s="1"/>
  <c r="N445" i="2"/>
  <c r="O445" i="2" s="1"/>
  <c r="K445" i="2"/>
  <c r="L445" i="2" s="1"/>
  <c r="N444" i="2"/>
  <c r="O444" i="2" s="1"/>
  <c r="K444" i="2"/>
  <c r="L444" i="2" s="1"/>
  <c r="N443" i="2"/>
  <c r="O443" i="2" s="1"/>
  <c r="K443" i="2"/>
  <c r="L443" i="2" s="1"/>
  <c r="N441" i="2"/>
  <c r="O441" i="2" s="1"/>
  <c r="K441" i="2"/>
  <c r="L441" i="2" s="1"/>
  <c r="N439" i="2"/>
  <c r="O439" i="2" s="1"/>
  <c r="K439" i="2"/>
  <c r="L439" i="2" s="1"/>
  <c r="N438" i="2"/>
  <c r="O438" i="2" s="1"/>
  <c r="K438" i="2"/>
  <c r="L438" i="2" s="1"/>
  <c r="N437" i="2"/>
  <c r="O437" i="2" s="1"/>
  <c r="K437" i="2"/>
  <c r="L437" i="2" s="1"/>
  <c r="N436" i="2"/>
  <c r="O436" i="2" s="1"/>
  <c r="K436" i="2"/>
  <c r="L436" i="2" s="1"/>
  <c r="N435" i="2"/>
  <c r="O435" i="2" s="1"/>
  <c r="K435" i="2"/>
  <c r="L435" i="2" s="1"/>
  <c r="N433" i="2"/>
  <c r="O433" i="2" s="1"/>
  <c r="K433" i="2"/>
  <c r="L433" i="2" s="1"/>
  <c r="N431" i="2"/>
  <c r="O431" i="2" s="1"/>
  <c r="K431" i="2"/>
  <c r="L431" i="2" s="1"/>
  <c r="N430" i="2"/>
  <c r="O430" i="2" s="1"/>
  <c r="K430" i="2"/>
  <c r="L430" i="2" s="1"/>
  <c r="N428" i="2"/>
  <c r="O428" i="2" s="1"/>
  <c r="K428" i="2"/>
  <c r="L428" i="2" s="1"/>
  <c r="N418" i="2"/>
  <c r="O418" i="2" s="1"/>
  <c r="K418" i="2"/>
  <c r="L418" i="2" s="1"/>
  <c r="N417" i="2"/>
  <c r="O417" i="2" s="1"/>
  <c r="K417" i="2"/>
  <c r="L417" i="2" s="1"/>
  <c r="N415" i="2"/>
  <c r="O415" i="2" s="1"/>
  <c r="K415" i="2"/>
  <c r="L415" i="2" s="1"/>
  <c r="N405" i="2"/>
  <c r="O405" i="2" s="1"/>
  <c r="K405" i="2"/>
  <c r="L405" i="2" s="1"/>
  <c r="K395" i="2"/>
  <c r="N385" i="2"/>
  <c r="O385" i="2" s="1"/>
  <c r="K385" i="2"/>
  <c r="L385" i="2" s="1"/>
  <c r="N384" i="2"/>
  <c r="O384" i="2" s="1"/>
  <c r="K384" i="2"/>
  <c r="L384" i="2" s="1"/>
  <c r="N383" i="2"/>
  <c r="O383" i="2" s="1"/>
  <c r="K383" i="2"/>
  <c r="L383" i="2" s="1"/>
  <c r="K382" i="2"/>
  <c r="N381" i="2"/>
  <c r="O381" i="2" s="1"/>
  <c r="K381" i="2"/>
  <c r="L381" i="2" s="1"/>
  <c r="N380" i="2"/>
  <c r="O380" i="2" s="1"/>
  <c r="K380" i="2"/>
  <c r="L380" i="2" s="1"/>
  <c r="N378" i="2"/>
  <c r="O378" i="2" s="1"/>
  <c r="K378" i="2"/>
  <c r="L378" i="2" s="1"/>
  <c r="N376" i="2"/>
  <c r="O376" i="2" s="1"/>
  <c r="K376" i="2"/>
  <c r="L376" i="2" s="1"/>
  <c r="N375" i="2"/>
  <c r="O375" i="2" s="1"/>
  <c r="K375" i="2"/>
  <c r="L375" i="2" s="1"/>
  <c r="N374" i="2"/>
  <c r="O374" i="2" s="1"/>
  <c r="K374" i="2"/>
  <c r="L374" i="2" s="1"/>
  <c r="N373" i="2"/>
  <c r="O373" i="2" s="1"/>
  <c r="K373" i="2"/>
  <c r="L373" i="2" s="1"/>
  <c r="N372" i="2"/>
  <c r="O372" i="2" s="1"/>
  <c r="K372" i="2"/>
  <c r="L372" i="2" s="1"/>
  <c r="N371" i="2"/>
  <c r="O371" i="2" s="1"/>
  <c r="K371" i="2"/>
  <c r="L371" i="2" s="1"/>
  <c r="N359" i="2"/>
  <c r="O359" i="2" s="1"/>
  <c r="K359" i="2"/>
  <c r="L359" i="2" s="1"/>
  <c r="N358" i="2"/>
  <c r="O358" i="2" s="1"/>
  <c r="K358" i="2"/>
  <c r="L358" i="2" s="1"/>
  <c r="N356" i="2"/>
  <c r="O356" i="2" s="1"/>
  <c r="K356" i="2"/>
  <c r="L356" i="2" s="1"/>
  <c r="N355" i="2"/>
  <c r="O355" i="2" s="1"/>
  <c r="K355" i="2"/>
  <c r="L355" i="2" s="1"/>
  <c r="N354" i="2"/>
  <c r="O354" i="2" s="1"/>
  <c r="K354" i="2"/>
  <c r="L354" i="2" s="1"/>
  <c r="N353" i="2"/>
  <c r="O353" i="2" s="1"/>
  <c r="K353" i="2"/>
  <c r="L353" i="2" s="1"/>
  <c r="N352" i="2"/>
  <c r="O352" i="2" s="1"/>
  <c r="K352" i="2"/>
  <c r="L352" i="2" s="1"/>
  <c r="N351" i="2"/>
  <c r="O351" i="2" s="1"/>
  <c r="K351" i="2"/>
  <c r="L351" i="2" s="1"/>
  <c r="N350" i="2"/>
  <c r="O350" i="2" s="1"/>
  <c r="K350" i="2"/>
  <c r="L350" i="2" s="1"/>
  <c r="N331" i="2"/>
  <c r="O331" i="2" s="1"/>
  <c r="K331" i="2"/>
  <c r="L331" i="2" s="1"/>
  <c r="N330" i="2"/>
  <c r="O330" i="2" s="1"/>
  <c r="K330" i="2"/>
  <c r="L330" i="2" s="1"/>
  <c r="N329" i="2"/>
  <c r="O329" i="2" s="1"/>
  <c r="K329" i="2"/>
  <c r="L329" i="2" s="1"/>
  <c r="N328" i="2"/>
  <c r="O328" i="2" s="1"/>
  <c r="K328" i="2"/>
  <c r="L328" i="2" s="1"/>
  <c r="N325" i="2"/>
  <c r="O325" i="2" s="1"/>
  <c r="K325" i="2"/>
  <c r="L325" i="2" s="1"/>
  <c r="N315" i="2"/>
  <c r="O315" i="2" s="1"/>
  <c r="K315" i="2"/>
  <c r="L315" i="2" s="1"/>
  <c r="N305" i="2"/>
  <c r="O305" i="2" s="1"/>
  <c r="K305" i="2"/>
  <c r="L305" i="2" s="1"/>
  <c r="N302" i="2"/>
  <c r="O302" i="2" s="1"/>
  <c r="K302" i="2"/>
  <c r="L302" i="2" s="1"/>
  <c r="N277" i="2"/>
  <c r="O277" i="2" s="1"/>
  <c r="K277" i="2"/>
  <c r="L277" i="2" s="1"/>
  <c r="N276" i="2"/>
  <c r="O276" i="2" s="1"/>
  <c r="K276" i="2"/>
  <c r="L276" i="2" s="1"/>
  <c r="N275" i="2"/>
  <c r="O275" i="2" s="1"/>
  <c r="K275" i="2"/>
  <c r="L275" i="2" s="1"/>
  <c r="N274" i="2"/>
  <c r="O274" i="2" s="1"/>
  <c r="K274" i="2"/>
  <c r="L274" i="2" s="1"/>
  <c r="N270" i="2"/>
  <c r="O270" i="2" s="1"/>
  <c r="K270" i="2"/>
  <c r="L270" i="2" s="1"/>
  <c r="K260" i="2"/>
  <c r="N251" i="2"/>
  <c r="O251" i="2" s="1"/>
  <c r="K251" i="2"/>
  <c r="L251" i="2" s="1"/>
  <c r="N250" i="2"/>
  <c r="O250" i="2" s="1"/>
  <c r="K250" i="2"/>
  <c r="L250" i="2" s="1"/>
  <c r="N249" i="2"/>
  <c r="O249" i="2" s="1"/>
  <c r="K249" i="2"/>
  <c r="L249" i="2" s="1"/>
  <c r="K240" i="2"/>
  <c r="N239" i="2"/>
  <c r="O239" i="2" s="1"/>
  <c r="K239" i="2"/>
  <c r="L239" i="2" s="1"/>
  <c r="K238" i="2"/>
  <c r="N237" i="2"/>
  <c r="O237" i="2" s="1"/>
  <c r="K237" i="2"/>
  <c r="L237" i="2" s="1"/>
  <c r="N234" i="2"/>
  <c r="O234" i="2" s="1"/>
  <c r="K234" i="2"/>
  <c r="L234" i="2" s="1"/>
  <c r="N233" i="2"/>
  <c r="O233" i="2" s="1"/>
  <c r="K233" i="2"/>
  <c r="L233" i="2" s="1"/>
  <c r="N232" i="2"/>
  <c r="O232" i="2" s="1"/>
  <c r="K232" i="2"/>
  <c r="L232" i="2" s="1"/>
  <c r="N231" i="2"/>
  <c r="O231" i="2" s="1"/>
  <c r="K231" i="2"/>
  <c r="L231" i="2" s="1"/>
  <c r="N230" i="2"/>
  <c r="O230" i="2" s="1"/>
  <c r="K230" i="2"/>
  <c r="L230" i="2" s="1"/>
  <c r="N221" i="2"/>
  <c r="O221" i="2" s="1"/>
  <c r="K221" i="2"/>
  <c r="L221" i="2" s="1"/>
  <c r="N220" i="2"/>
  <c r="O220" i="2" s="1"/>
  <c r="K220" i="2"/>
  <c r="L220" i="2" s="1"/>
  <c r="N209" i="2"/>
  <c r="O209" i="2" s="1"/>
  <c r="K209" i="2"/>
  <c r="L209" i="2" s="1"/>
  <c r="N208" i="2"/>
  <c r="O208" i="2" s="1"/>
  <c r="K208" i="2"/>
  <c r="L208" i="2" s="1"/>
  <c r="N207" i="2"/>
  <c r="O207" i="2" s="1"/>
  <c r="K207" i="2"/>
  <c r="L207" i="2" s="1"/>
  <c r="N206" i="2"/>
  <c r="O206" i="2" s="1"/>
  <c r="K206" i="2"/>
  <c r="L206" i="2" s="1"/>
  <c r="O204" i="2"/>
  <c r="K204" i="2"/>
  <c r="L204" i="2" s="1"/>
  <c r="O203" i="2"/>
  <c r="K203" i="2"/>
  <c r="L203" i="2" s="1"/>
  <c r="O202" i="2"/>
  <c r="K202" i="2"/>
  <c r="L202" i="2" s="1"/>
  <c r="O201" i="2"/>
  <c r="N197" i="2"/>
  <c r="O197" i="2" s="1"/>
  <c r="K197" i="2"/>
  <c r="L197" i="2" s="1"/>
  <c r="N195" i="2"/>
  <c r="O195" i="2" s="1"/>
  <c r="K195" i="2"/>
  <c r="L195" i="2" s="1"/>
  <c r="N194" i="2"/>
  <c r="O194" i="2" s="1"/>
  <c r="K194" i="2"/>
  <c r="L194" i="2" s="1"/>
  <c r="N193" i="2"/>
  <c r="O193" i="2" s="1"/>
  <c r="K193" i="2"/>
  <c r="L193" i="2" s="1"/>
  <c r="N191" i="2"/>
  <c r="O191" i="2" s="1"/>
  <c r="K191" i="2"/>
  <c r="L191" i="2" s="1"/>
  <c r="N190" i="2"/>
  <c r="O190" i="2" s="1"/>
  <c r="K190" i="2"/>
  <c r="L190" i="2" s="1"/>
  <c r="N189" i="2"/>
  <c r="O189" i="2" s="1"/>
  <c r="K189" i="2"/>
  <c r="L189" i="2" s="1"/>
  <c r="N188" i="2"/>
  <c r="O188" i="2" s="1"/>
  <c r="K188" i="2"/>
  <c r="L188" i="2" s="1"/>
  <c r="N187" i="2"/>
  <c r="O187" i="2" s="1"/>
  <c r="K187" i="2"/>
  <c r="L187" i="2" s="1"/>
  <c r="N185" i="2"/>
  <c r="O185" i="2" s="1"/>
  <c r="K185" i="2"/>
  <c r="L185" i="2" s="1"/>
  <c r="N184" i="2"/>
  <c r="O184" i="2" s="1"/>
  <c r="K184" i="2"/>
  <c r="L184" i="2" s="1"/>
  <c r="N183" i="2"/>
  <c r="O183" i="2" s="1"/>
  <c r="K183" i="2"/>
  <c r="L183" i="2" s="1"/>
  <c r="N182" i="2"/>
  <c r="O182" i="2" s="1"/>
  <c r="K182" i="2"/>
  <c r="L182" i="2" s="1"/>
  <c r="N181" i="2"/>
  <c r="O181" i="2" s="1"/>
  <c r="K181" i="2"/>
  <c r="L181" i="2" s="1"/>
  <c r="N170" i="2"/>
  <c r="O170" i="2" s="1"/>
  <c r="K170" i="2"/>
  <c r="L170" i="2" s="1"/>
  <c r="N169" i="2"/>
  <c r="O169" i="2" s="1"/>
  <c r="K169" i="2"/>
  <c r="L169" i="2" s="1"/>
  <c r="N168" i="2"/>
  <c r="O168" i="2" s="1"/>
  <c r="K168" i="2"/>
  <c r="L168" i="2" s="1"/>
  <c r="N167" i="2"/>
  <c r="O167" i="2" s="1"/>
  <c r="K167" i="2"/>
  <c r="L167" i="2" s="1"/>
  <c r="N166" i="2"/>
  <c r="O166" i="2" s="1"/>
  <c r="K166" i="2"/>
  <c r="L166" i="2" s="1"/>
  <c r="N165" i="2"/>
  <c r="O165" i="2" s="1"/>
  <c r="K165" i="2"/>
  <c r="L165" i="2" s="1"/>
  <c r="K164" i="2"/>
  <c r="K163" i="2"/>
  <c r="N162" i="2"/>
  <c r="O162" i="2" s="1"/>
  <c r="K162" i="2"/>
  <c r="L162" i="2" s="1"/>
  <c r="N161" i="2"/>
  <c r="O161" i="2" s="1"/>
  <c r="K161" i="2"/>
  <c r="L161" i="2" s="1"/>
  <c r="N153" i="2"/>
  <c r="O153" i="2" s="1"/>
  <c r="K153" i="2"/>
  <c r="L153" i="2" s="1"/>
  <c r="N152" i="2"/>
  <c r="O152" i="2" s="1"/>
  <c r="K152" i="2"/>
  <c r="L152" i="2" s="1"/>
  <c r="N151" i="2"/>
  <c r="O151" i="2" s="1"/>
  <c r="K151" i="2"/>
  <c r="L151" i="2" s="1"/>
  <c r="N150" i="2"/>
  <c r="O150" i="2" s="1"/>
  <c r="K150" i="2"/>
  <c r="L150" i="2" s="1"/>
  <c r="N149" i="2"/>
  <c r="O149" i="2" s="1"/>
  <c r="K149" i="2"/>
  <c r="L149" i="2" s="1"/>
  <c r="K131" i="2"/>
  <c r="N130" i="2"/>
  <c r="O130" i="2" s="1"/>
  <c r="K130" i="2"/>
  <c r="L130" i="2" s="1"/>
  <c r="N119" i="2"/>
  <c r="O119" i="2" s="1"/>
  <c r="K119" i="2"/>
  <c r="L119" i="2" s="1"/>
  <c r="N118" i="2"/>
  <c r="O118" i="2" s="1"/>
  <c r="K118" i="2"/>
  <c r="L118" i="2" s="1"/>
  <c r="N117" i="2"/>
  <c r="O117" i="2" s="1"/>
  <c r="K117" i="2"/>
  <c r="L117" i="2" s="1"/>
  <c r="N116" i="2"/>
  <c r="O116" i="2" s="1"/>
  <c r="K116" i="2"/>
  <c r="L116" i="2" s="1"/>
  <c r="N108" i="2"/>
  <c r="O108" i="2" s="1"/>
  <c r="K108" i="2"/>
  <c r="L108" i="2" s="1"/>
  <c r="N107" i="2"/>
  <c r="O107" i="2" s="1"/>
  <c r="K107" i="2"/>
  <c r="L107" i="2" s="1"/>
  <c r="N106" i="2"/>
  <c r="O106" i="2" s="1"/>
  <c r="K106" i="2"/>
  <c r="L106" i="2" s="1"/>
  <c r="K98" i="2"/>
  <c r="N90" i="2"/>
  <c r="O90" i="2" s="1"/>
  <c r="K90" i="2"/>
  <c r="L90" i="2" s="1"/>
  <c r="N89" i="2"/>
  <c r="O89" i="2" s="1"/>
  <c r="K89" i="2"/>
  <c r="L89" i="2" s="1"/>
  <c r="N88" i="2"/>
  <c r="O88" i="2" s="1"/>
  <c r="K88" i="2"/>
  <c r="L88" i="2" s="1"/>
  <c r="N87" i="2"/>
  <c r="O87" i="2" s="1"/>
  <c r="K87" i="2"/>
  <c r="L87" i="2" s="1"/>
  <c r="N86" i="2"/>
  <c r="O86" i="2" s="1"/>
  <c r="K86" i="2"/>
  <c r="L86" i="2" s="1"/>
  <c r="N85" i="2"/>
  <c r="O85" i="2" s="1"/>
  <c r="K85" i="2"/>
  <c r="L85" i="2" s="1"/>
  <c r="N84" i="2"/>
  <c r="O84" i="2" s="1"/>
  <c r="K84" i="2"/>
  <c r="L84" i="2" s="1"/>
  <c r="N83" i="2"/>
  <c r="O83" i="2" s="1"/>
  <c r="K83" i="2"/>
  <c r="L83" i="2" s="1"/>
  <c r="N82" i="2"/>
  <c r="O82" i="2" s="1"/>
  <c r="K82" i="2"/>
  <c r="L82" i="2" s="1"/>
  <c r="N81" i="2"/>
  <c r="O81" i="2" s="1"/>
  <c r="K81" i="2"/>
  <c r="L81" i="2" s="1"/>
  <c r="K73" i="2"/>
  <c r="N72" i="2"/>
  <c r="O72" i="2" s="1"/>
  <c r="K72" i="2"/>
  <c r="L72" i="2" s="1"/>
  <c r="N71" i="2"/>
  <c r="O71" i="2" s="1"/>
  <c r="K71" i="2"/>
  <c r="L71" i="2" s="1"/>
  <c r="N68" i="2"/>
  <c r="O68" i="2" s="1"/>
  <c r="K68" i="2"/>
  <c r="L68" i="2" s="1"/>
  <c r="N67" i="2"/>
  <c r="O67" i="2" s="1"/>
  <c r="K67" i="2"/>
  <c r="L67" i="2" s="1"/>
  <c r="N66" i="2"/>
  <c r="O66" i="2" s="1"/>
  <c r="K66" i="2"/>
  <c r="L66" i="2" s="1"/>
  <c r="N65" i="2"/>
  <c r="O65" i="2" s="1"/>
  <c r="K65" i="2"/>
  <c r="L65" i="2" s="1"/>
  <c r="N54" i="2"/>
  <c r="O54" i="2" s="1"/>
  <c r="K54" i="2"/>
  <c r="L54" i="2" s="1"/>
  <c r="N49" i="2"/>
  <c r="O49" i="2" s="1"/>
  <c r="K49" i="2"/>
  <c r="L49" i="2" s="1"/>
  <c r="N30" i="2"/>
  <c r="O30" i="2" s="1"/>
  <c r="K30" i="2"/>
  <c r="L30" i="2" s="1"/>
  <c r="K29" i="2"/>
  <c r="L29" i="2" s="1"/>
  <c r="N10" i="2"/>
  <c r="O10" i="2" s="1"/>
  <c r="K10" i="2"/>
  <c r="L10" i="2" s="1"/>
  <c r="C495" i="2" l="1"/>
  <c r="K341" i="1"/>
  <c r="Q341" i="1"/>
  <c r="O341" i="1"/>
  <c r="M341" i="1"/>
  <c r="Q283" i="1"/>
  <c r="M283" i="1"/>
  <c r="O283" i="1"/>
  <c r="K283" i="1"/>
  <c r="K332" i="1"/>
  <c r="Q332" i="1"/>
  <c r="M332" i="1"/>
  <c r="O332" i="1"/>
  <c r="Q9" i="1"/>
  <c r="O9" i="1"/>
  <c r="M9" i="1"/>
  <c r="N18" i="1"/>
  <c r="P18" i="1"/>
  <c r="L18" i="1"/>
  <c r="J428" i="1"/>
  <c r="J432" i="1" s="1"/>
  <c r="E426" i="1"/>
  <c r="F426" i="1" s="1"/>
  <c r="K422" i="1"/>
  <c r="O422" i="1"/>
  <c r="Q422" i="1"/>
  <c r="M422" i="1"/>
  <c r="E333" i="1"/>
  <c r="F333" i="1" s="1"/>
  <c r="F283" i="1"/>
  <c r="F422" i="1"/>
  <c r="E342" i="1"/>
  <c r="F342" i="1" s="1"/>
  <c r="F9" i="1"/>
  <c r="K9" i="1"/>
  <c r="K428" i="1" s="1"/>
  <c r="B215" i="2"/>
  <c r="E284" i="1"/>
  <c r="F284" i="1" s="1"/>
  <c r="F240" i="1"/>
  <c r="E251" i="1"/>
  <c r="F251" i="1" s="1"/>
  <c r="E10" i="1"/>
  <c r="L164" i="2"/>
  <c r="N164" i="2"/>
  <c r="O164" i="2" s="1"/>
  <c r="F332" i="1"/>
  <c r="F40" i="1"/>
  <c r="F341" i="1"/>
  <c r="L292" i="2"/>
  <c r="K292" i="2"/>
  <c r="B212" i="2"/>
  <c r="N292" i="2"/>
  <c r="O292" i="2" s="1"/>
  <c r="B217" i="2"/>
  <c r="B210" i="2"/>
  <c r="B208" i="2"/>
  <c r="B149" i="2"/>
  <c r="L129" i="2"/>
  <c r="L40" i="2"/>
  <c r="L428" i="1" l="1"/>
  <c r="L432" i="1" s="1"/>
  <c r="M18" i="1"/>
  <c r="Q428" i="1"/>
  <c r="P428" i="1"/>
  <c r="P432" i="1" s="1"/>
  <c r="Q18" i="1"/>
  <c r="M428" i="1"/>
  <c r="N428" i="1"/>
  <c r="N432" i="1" s="1"/>
  <c r="O18" i="1"/>
  <c r="O428" i="1" s="1"/>
  <c r="E427" i="1"/>
  <c r="F427" i="1" s="1"/>
  <c r="F10" i="1"/>
  <c r="N493" i="2" l="1"/>
  <c r="O493" i="2" s="1"/>
  <c r="L493" i="2"/>
  <c r="N238" i="2" l="1"/>
  <c r="O238" i="2" s="1"/>
  <c r="L238" i="2"/>
  <c r="N466" i="2" l="1"/>
  <c r="O466" i="2" s="1"/>
  <c r="L466" i="2"/>
  <c r="N240" i="2"/>
  <c r="O240" i="2" s="1"/>
  <c r="L240" i="2"/>
  <c r="E473" i="3"/>
  <c r="C473" i="3"/>
  <c r="F473" i="3" s="1"/>
  <c r="E472" i="3"/>
  <c r="C472" i="3"/>
  <c r="F472" i="3" s="1"/>
  <c r="F466" i="3"/>
  <c r="D444" i="3"/>
  <c r="E444" i="3" s="1"/>
  <c r="F444" i="3" s="1"/>
  <c r="D443" i="3"/>
  <c r="C443" i="3"/>
  <c r="C445" i="3" s="1"/>
  <c r="E442" i="3"/>
  <c r="F442" i="3" s="1"/>
  <c r="E441" i="3"/>
  <c r="F441" i="3" s="1"/>
  <c r="E440" i="3"/>
  <c r="F440" i="3" s="1"/>
  <c r="E439" i="3"/>
  <c r="F439" i="3" s="1"/>
  <c r="E438" i="3"/>
  <c r="F438" i="3" s="1"/>
  <c r="E437" i="3"/>
  <c r="F437" i="3" s="1"/>
  <c r="E436" i="3"/>
  <c r="F436" i="3" s="1"/>
  <c r="E435" i="3"/>
  <c r="F435" i="3" s="1"/>
  <c r="E433" i="3"/>
  <c r="F433" i="3" s="1"/>
  <c r="E431" i="3"/>
  <c r="F431" i="3" s="1"/>
  <c r="E430" i="3"/>
  <c r="F430" i="3" s="1"/>
  <c r="E429" i="3"/>
  <c r="F429" i="3" s="1"/>
  <c r="E428" i="3"/>
  <c r="F428" i="3" s="1"/>
  <c r="E427" i="3"/>
  <c r="F427" i="3" s="1"/>
  <c r="D418" i="3"/>
  <c r="C418" i="3"/>
  <c r="E417" i="3"/>
  <c r="F417" i="3" s="1"/>
  <c r="C410" i="3"/>
  <c r="E409" i="3"/>
  <c r="F409" i="3" s="1"/>
  <c r="E408" i="3"/>
  <c r="F408" i="3" s="1"/>
  <c r="D407" i="3"/>
  <c r="D410" i="3" s="1"/>
  <c r="E406" i="3"/>
  <c r="D399" i="3"/>
  <c r="C399" i="3"/>
  <c r="E398" i="3"/>
  <c r="F398" i="3" s="1"/>
  <c r="E397" i="3"/>
  <c r="F397" i="3" s="1"/>
  <c r="E396" i="3"/>
  <c r="F396" i="3" s="1"/>
  <c r="E395" i="3"/>
  <c r="F395" i="3" s="1"/>
  <c r="E393" i="3"/>
  <c r="F393" i="3" s="1"/>
  <c r="E392" i="3"/>
  <c r="F392" i="3" s="1"/>
  <c r="E391" i="3"/>
  <c r="F391" i="3" s="1"/>
  <c r="E390" i="3"/>
  <c r="F390" i="3" s="1"/>
  <c r="E389" i="3"/>
  <c r="F389" i="3" s="1"/>
  <c r="E388" i="3"/>
  <c r="F388" i="3" s="1"/>
  <c r="E387" i="3"/>
  <c r="F387" i="3" s="1"/>
  <c r="E385" i="3"/>
  <c r="F385" i="3" s="1"/>
  <c r="E384" i="3"/>
  <c r="F384" i="3" s="1"/>
  <c r="E383" i="3"/>
  <c r="D375" i="3"/>
  <c r="C375" i="3"/>
  <c r="E374" i="3"/>
  <c r="F374" i="3" s="1"/>
  <c r="E373" i="3"/>
  <c r="F373" i="3" s="1"/>
  <c r="E372" i="3"/>
  <c r="F372" i="3" s="1"/>
  <c r="D364" i="3"/>
  <c r="C364" i="3"/>
  <c r="E363" i="3"/>
  <c r="F363" i="3" s="1"/>
  <c r="C355" i="3"/>
  <c r="C457" i="3" s="1"/>
  <c r="D354" i="3"/>
  <c r="E354" i="3" s="1"/>
  <c r="E355" i="3" s="1"/>
  <c r="E457" i="3" s="1"/>
  <c r="D345" i="3"/>
  <c r="D346" i="3" s="1"/>
  <c r="D456" i="3" s="1"/>
  <c r="C345" i="3"/>
  <c r="C346" i="3" s="1"/>
  <c r="C456" i="3" s="1"/>
  <c r="E336" i="3"/>
  <c r="F336" i="3" s="1"/>
  <c r="E335" i="3"/>
  <c r="F335" i="3" s="1"/>
  <c r="D334" i="3"/>
  <c r="D337" i="3" s="1"/>
  <c r="D470" i="3" s="1"/>
  <c r="E333" i="3"/>
  <c r="F333" i="3" s="1"/>
  <c r="E332" i="3"/>
  <c r="F332" i="3" s="1"/>
  <c r="E331" i="3"/>
  <c r="F331" i="3" s="1"/>
  <c r="C330" i="3"/>
  <c r="E330" i="3" s="1"/>
  <c r="F330" i="3" s="1"/>
  <c r="E329" i="3"/>
  <c r="F329" i="3" s="1"/>
  <c r="E328" i="3"/>
  <c r="F328" i="3" s="1"/>
  <c r="E326" i="3"/>
  <c r="F326" i="3" s="1"/>
  <c r="E325" i="3"/>
  <c r="F325" i="3" s="1"/>
  <c r="E323" i="3"/>
  <c r="F323" i="3" s="1"/>
  <c r="E322" i="3"/>
  <c r="F322" i="3" s="1"/>
  <c r="E321" i="3"/>
  <c r="F321" i="3" s="1"/>
  <c r="E320" i="3"/>
  <c r="F320" i="3" s="1"/>
  <c r="E319" i="3"/>
  <c r="F319" i="3" s="1"/>
  <c r="E318" i="3"/>
  <c r="F318" i="3" s="1"/>
  <c r="E317" i="3"/>
  <c r="F317" i="3" s="1"/>
  <c r="E316" i="3"/>
  <c r="F316" i="3" s="1"/>
  <c r="E315" i="3"/>
  <c r="F315" i="3" s="1"/>
  <c r="E314" i="3"/>
  <c r="F314" i="3" s="1"/>
  <c r="E313" i="3"/>
  <c r="F313" i="3" s="1"/>
  <c r="E312" i="3"/>
  <c r="F312" i="3" s="1"/>
  <c r="C310" i="3"/>
  <c r="E310" i="3" s="1"/>
  <c r="F310" i="3" s="1"/>
  <c r="E309" i="3"/>
  <c r="F309" i="3" s="1"/>
  <c r="E308" i="3"/>
  <c r="F308" i="3" s="1"/>
  <c r="E307" i="3"/>
  <c r="F307" i="3" s="1"/>
  <c r="E306" i="3"/>
  <c r="F306" i="3" s="1"/>
  <c r="E305" i="3"/>
  <c r="F305" i="3" s="1"/>
  <c r="E304" i="3"/>
  <c r="F304" i="3" s="1"/>
  <c r="E303" i="3"/>
  <c r="C294" i="3"/>
  <c r="C469" i="3" s="1"/>
  <c r="D293" i="3"/>
  <c r="E293" i="3" s="1"/>
  <c r="F293" i="3" s="1"/>
  <c r="E292" i="3"/>
  <c r="F292" i="3" s="1"/>
  <c r="E291" i="3"/>
  <c r="F291" i="3" s="1"/>
  <c r="E290" i="3"/>
  <c r="F290" i="3" s="1"/>
  <c r="E289" i="3"/>
  <c r="E280" i="3"/>
  <c r="F280" i="3" s="1"/>
  <c r="D279" i="3"/>
  <c r="D281" i="3" s="1"/>
  <c r="D461" i="3" s="1"/>
  <c r="C279" i="3"/>
  <c r="D271" i="3"/>
  <c r="D468" i="3" s="1"/>
  <c r="C271" i="3"/>
  <c r="C468" i="3" s="1"/>
  <c r="E270" i="3"/>
  <c r="F270" i="3" s="1"/>
  <c r="E269" i="3"/>
  <c r="C260" i="3"/>
  <c r="C467" i="3" s="1"/>
  <c r="D259" i="3"/>
  <c r="E259" i="3" s="1"/>
  <c r="F259" i="3" s="1"/>
  <c r="E258" i="3"/>
  <c r="F258" i="3" s="1"/>
  <c r="E257" i="3"/>
  <c r="F257" i="3" s="1"/>
  <c r="E256" i="3"/>
  <c r="F256" i="3" s="1"/>
  <c r="E255" i="3"/>
  <c r="D246" i="3"/>
  <c r="D247" i="3" s="1"/>
  <c r="D465" i="3" s="1"/>
  <c r="C246" i="3"/>
  <c r="C247" i="3" s="1"/>
  <c r="C239" i="3"/>
  <c r="C462" i="3" s="1"/>
  <c r="D238" i="3"/>
  <c r="E238" i="3" s="1"/>
  <c r="F238" i="3" s="1"/>
  <c r="D237" i="3"/>
  <c r="E237" i="3" s="1"/>
  <c r="F237" i="3" s="1"/>
  <c r="E236" i="3"/>
  <c r="F236" i="3" s="1"/>
  <c r="E235" i="3"/>
  <c r="F235" i="3" s="1"/>
  <c r="E234" i="3"/>
  <c r="F234" i="3" s="1"/>
  <c r="D226" i="3"/>
  <c r="C226" i="3"/>
  <c r="C227" i="3" s="1"/>
  <c r="E225" i="3"/>
  <c r="F225" i="3" s="1"/>
  <c r="E224" i="3"/>
  <c r="F224" i="3" s="1"/>
  <c r="E223" i="3"/>
  <c r="F223" i="3" s="1"/>
  <c r="E222" i="3"/>
  <c r="F222" i="3" s="1"/>
  <c r="E221" i="3"/>
  <c r="F221" i="3" s="1"/>
  <c r="E220" i="3"/>
  <c r="F220" i="3" s="1"/>
  <c r="D219" i="3"/>
  <c r="E219" i="3" s="1"/>
  <c r="F219" i="3" s="1"/>
  <c r="E218" i="3"/>
  <c r="F218" i="3" s="1"/>
  <c r="C211" i="3"/>
  <c r="D210" i="3"/>
  <c r="E210" i="3" s="1"/>
  <c r="F210" i="3" s="1"/>
  <c r="D209" i="3"/>
  <c r="E209" i="3" s="1"/>
  <c r="F209" i="3" s="1"/>
  <c r="E208" i="3"/>
  <c r="F208" i="3" s="1"/>
  <c r="E207" i="3"/>
  <c r="F207" i="3" s="1"/>
  <c r="E206" i="3"/>
  <c r="F206" i="3" s="1"/>
  <c r="E205" i="3"/>
  <c r="F205" i="3" s="1"/>
  <c r="E204" i="3"/>
  <c r="F204" i="3" s="1"/>
  <c r="D203" i="3"/>
  <c r="E203" i="3" s="1"/>
  <c r="F203" i="3" s="1"/>
  <c r="E202" i="3"/>
  <c r="F202" i="3" s="1"/>
  <c r="E201" i="3"/>
  <c r="F201" i="3" s="1"/>
  <c r="E199" i="3"/>
  <c r="F199" i="3" s="1"/>
  <c r="E198" i="3"/>
  <c r="F198" i="3" s="1"/>
  <c r="E197" i="3"/>
  <c r="F197" i="3" s="1"/>
  <c r="D196" i="3"/>
  <c r="E195" i="3"/>
  <c r="F195" i="3" s="1"/>
  <c r="E193" i="3"/>
  <c r="F193" i="3" s="1"/>
  <c r="E192" i="3"/>
  <c r="F192" i="3" s="1"/>
  <c r="E191" i="3"/>
  <c r="F191" i="3" s="1"/>
  <c r="E187" i="3"/>
  <c r="F187" i="3" s="1"/>
  <c r="E186" i="3"/>
  <c r="F186" i="3" s="1"/>
  <c r="E185" i="3"/>
  <c r="F185" i="3" s="1"/>
  <c r="E184" i="3"/>
  <c r="F184" i="3" s="1"/>
  <c r="E183" i="3"/>
  <c r="F183" i="3" s="1"/>
  <c r="E180" i="3"/>
  <c r="F180" i="3" s="1"/>
  <c r="E179" i="3"/>
  <c r="F179" i="3" s="1"/>
  <c r="E178" i="3"/>
  <c r="F178" i="3" s="1"/>
  <c r="E177" i="3"/>
  <c r="F177" i="3" s="1"/>
  <c r="E176" i="3"/>
  <c r="F176" i="3" s="1"/>
  <c r="E166" i="3"/>
  <c r="F166" i="3" s="1"/>
  <c r="D165" i="3"/>
  <c r="C165" i="3"/>
  <c r="E165" i="3" s="1"/>
  <c r="F165" i="3" s="1"/>
  <c r="E164" i="3"/>
  <c r="F164" i="3" s="1"/>
  <c r="E163" i="3"/>
  <c r="F163" i="3" s="1"/>
  <c r="E162" i="3"/>
  <c r="F162" i="3" s="1"/>
  <c r="E161" i="3"/>
  <c r="F161" i="3" s="1"/>
  <c r="E160" i="3"/>
  <c r="F160" i="3" s="1"/>
  <c r="E159" i="3"/>
  <c r="F159" i="3" s="1"/>
  <c r="E158" i="3"/>
  <c r="F158" i="3" s="1"/>
  <c r="C157" i="3"/>
  <c r="E157" i="3" s="1"/>
  <c r="F157" i="3" s="1"/>
  <c r="E156" i="3"/>
  <c r="F156" i="3" s="1"/>
  <c r="E155" i="3"/>
  <c r="F155" i="3" s="1"/>
  <c r="E148" i="3"/>
  <c r="F148" i="3" s="1"/>
  <c r="E147" i="3"/>
  <c r="F147" i="3" s="1"/>
  <c r="E140" i="3"/>
  <c r="F140" i="3" s="1"/>
  <c r="D139" i="3"/>
  <c r="E139" i="3" s="1"/>
  <c r="F139" i="3" s="1"/>
  <c r="E138" i="3"/>
  <c r="F138" i="3" s="1"/>
  <c r="D137" i="3"/>
  <c r="E136" i="3"/>
  <c r="F136" i="3" s="1"/>
  <c r="E127" i="3"/>
  <c r="F127" i="3" s="1"/>
  <c r="C127" i="3"/>
  <c r="E126" i="3"/>
  <c r="F126" i="3" s="1"/>
  <c r="D119" i="3"/>
  <c r="E119" i="3" s="1"/>
  <c r="F119" i="3" s="1"/>
  <c r="E118" i="3"/>
  <c r="F118" i="3" s="1"/>
  <c r="E117" i="3"/>
  <c r="F117" i="3" s="1"/>
  <c r="D116" i="3"/>
  <c r="E116" i="3" s="1"/>
  <c r="F116" i="3" s="1"/>
  <c r="D109" i="3"/>
  <c r="E109" i="3" s="1"/>
  <c r="F109" i="3" s="1"/>
  <c r="D108" i="3"/>
  <c r="E108" i="3" s="1"/>
  <c r="F108" i="3" s="1"/>
  <c r="D107" i="3"/>
  <c r="E107" i="3" s="1"/>
  <c r="F107" i="3" s="1"/>
  <c r="C100" i="3"/>
  <c r="E100" i="3" s="1"/>
  <c r="F100" i="3" s="1"/>
  <c r="D93" i="3"/>
  <c r="C93" i="3"/>
  <c r="E92" i="3"/>
  <c r="F92" i="3" s="1"/>
  <c r="E91" i="3"/>
  <c r="F91" i="3" s="1"/>
  <c r="E90" i="3"/>
  <c r="F90" i="3" s="1"/>
  <c r="E89" i="3"/>
  <c r="F89" i="3" s="1"/>
  <c r="E88" i="3"/>
  <c r="F88" i="3" s="1"/>
  <c r="E87" i="3"/>
  <c r="F87" i="3" s="1"/>
  <c r="E86" i="3"/>
  <c r="F86" i="3" s="1"/>
  <c r="E85" i="3"/>
  <c r="F85" i="3" s="1"/>
  <c r="E84" i="3"/>
  <c r="F84" i="3" s="1"/>
  <c r="E83" i="3"/>
  <c r="F83" i="3" s="1"/>
  <c r="D76" i="3"/>
  <c r="C76" i="3"/>
  <c r="E75" i="3"/>
  <c r="F75" i="3" s="1"/>
  <c r="E74" i="3"/>
  <c r="F74" i="3" s="1"/>
  <c r="D73" i="3"/>
  <c r="E73" i="3" s="1"/>
  <c r="F73" i="3" s="1"/>
  <c r="E72" i="3"/>
  <c r="F72" i="3" s="1"/>
  <c r="D71" i="3"/>
  <c r="E71" i="3" s="1"/>
  <c r="F71" i="3" s="1"/>
  <c r="E70" i="3"/>
  <c r="F70" i="3" s="1"/>
  <c r="D61" i="3"/>
  <c r="E61" i="3" s="1"/>
  <c r="F61" i="3" s="1"/>
  <c r="D60" i="3"/>
  <c r="E60" i="3" s="1"/>
  <c r="F60" i="3" s="1"/>
  <c r="D59" i="3"/>
  <c r="E59" i="3" s="1"/>
  <c r="F59" i="3" s="1"/>
  <c r="D58" i="3"/>
  <c r="E58" i="3" s="1"/>
  <c r="F58" i="3" s="1"/>
  <c r="D57" i="3"/>
  <c r="E57" i="3" s="1"/>
  <c r="F57" i="3" s="1"/>
  <c r="D56" i="3"/>
  <c r="E56" i="3" s="1"/>
  <c r="F56" i="3" s="1"/>
  <c r="D55" i="3"/>
  <c r="C55" i="3"/>
  <c r="C62" i="3" s="1"/>
  <c r="E48" i="3"/>
  <c r="F48" i="3" s="1"/>
  <c r="E47" i="3"/>
  <c r="F47" i="3" s="1"/>
  <c r="E46" i="3"/>
  <c r="F46" i="3" s="1"/>
  <c r="F39" i="3"/>
  <c r="F38" i="3"/>
  <c r="F37" i="3"/>
  <c r="D37" i="3"/>
  <c r="D30" i="3"/>
  <c r="E30" i="3" s="1"/>
  <c r="F30" i="3" s="1"/>
  <c r="D29" i="3"/>
  <c r="E29" i="3" s="1"/>
  <c r="F29" i="3" s="1"/>
  <c r="E28" i="3"/>
  <c r="F28" i="3" s="1"/>
  <c r="D19" i="3"/>
  <c r="C19" i="3"/>
  <c r="C20" i="3" s="1"/>
  <c r="E18" i="3"/>
  <c r="F18" i="3" s="1"/>
  <c r="C10" i="3"/>
  <c r="C453" i="3" s="1"/>
  <c r="D9" i="3"/>
  <c r="D10" i="3" s="1"/>
  <c r="D453" i="3" s="1"/>
  <c r="E93" i="3" l="1"/>
  <c r="F93" i="3" s="1"/>
  <c r="E226" i="3"/>
  <c r="F226" i="3" s="1"/>
  <c r="D445" i="3"/>
  <c r="E19" i="3"/>
  <c r="F19" i="3" s="1"/>
  <c r="D211" i="3"/>
  <c r="D463" i="3" s="1"/>
  <c r="D167" i="3"/>
  <c r="D460" i="3" s="1"/>
  <c r="C167" i="3"/>
  <c r="C460" i="3" s="1"/>
  <c r="E196" i="3"/>
  <c r="F196" i="3" s="1"/>
  <c r="C128" i="3"/>
  <c r="D128" i="3"/>
  <c r="D459" i="3" s="1"/>
  <c r="E279" i="3"/>
  <c r="E281" i="3" s="1"/>
  <c r="D62" i="3"/>
  <c r="D455" i="3" s="1"/>
  <c r="D227" i="3"/>
  <c r="D464" i="3" s="1"/>
  <c r="E137" i="3"/>
  <c r="F137" i="3" s="1"/>
  <c r="E345" i="3"/>
  <c r="E346" i="3" s="1"/>
  <c r="E456" i="3" s="1"/>
  <c r="E407" i="3"/>
  <c r="F407" i="3" s="1"/>
  <c r="C497" i="3"/>
  <c r="D497" i="3"/>
  <c r="D239" i="3"/>
  <c r="D462" i="3" s="1"/>
  <c r="E246" i="3"/>
  <c r="F246" i="3" s="1"/>
  <c r="E334" i="3"/>
  <c r="F334" i="3" s="1"/>
  <c r="D355" i="3"/>
  <c r="D457" i="3" s="1"/>
  <c r="F457" i="3" s="1"/>
  <c r="E399" i="3"/>
  <c r="F399" i="3" s="1"/>
  <c r="D446" i="3"/>
  <c r="D471" i="3" s="1"/>
  <c r="E375" i="3"/>
  <c r="F375" i="3" s="1"/>
  <c r="E271" i="3"/>
  <c r="E468" i="3" s="1"/>
  <c r="F456" i="3"/>
  <c r="C454" i="3"/>
  <c r="C459" i="3"/>
  <c r="E128" i="3"/>
  <c r="C464" i="3"/>
  <c r="F464" i="3" s="1"/>
  <c r="F453" i="3"/>
  <c r="F279" i="3"/>
  <c r="C455" i="3"/>
  <c r="E247" i="3"/>
  <c r="C261" i="3"/>
  <c r="C465" i="3"/>
  <c r="F465" i="3" s="1"/>
  <c r="F468" i="3"/>
  <c r="C446" i="3"/>
  <c r="F462" i="3"/>
  <c r="E9" i="3"/>
  <c r="E55" i="3"/>
  <c r="F55" i="3" s="1"/>
  <c r="E76" i="3"/>
  <c r="F76" i="3" s="1"/>
  <c r="E239" i="3"/>
  <c r="E294" i="3"/>
  <c r="F289" i="3"/>
  <c r="F303" i="3"/>
  <c r="F355" i="3"/>
  <c r="F406" i="3"/>
  <c r="E167" i="3"/>
  <c r="D20" i="3"/>
  <c r="D454" i="3" s="1"/>
  <c r="E211" i="3"/>
  <c r="E260" i="3"/>
  <c r="F255" i="3"/>
  <c r="C281" i="3"/>
  <c r="C461" i="3" s="1"/>
  <c r="F461" i="3" s="1"/>
  <c r="D294" i="3"/>
  <c r="D469" i="3" s="1"/>
  <c r="F469" i="3" s="1"/>
  <c r="F354" i="3"/>
  <c r="E364" i="3"/>
  <c r="F364" i="3" s="1"/>
  <c r="F383" i="3"/>
  <c r="E418" i="3"/>
  <c r="F418" i="3" s="1"/>
  <c r="E443" i="3"/>
  <c r="F443" i="3" s="1"/>
  <c r="C463" i="3"/>
  <c r="F463" i="3" s="1"/>
  <c r="D260" i="3"/>
  <c r="C337" i="3"/>
  <c r="C470" i="3" s="1"/>
  <c r="F470" i="3" s="1"/>
  <c r="E445" i="3"/>
  <c r="E62" i="3" l="1"/>
  <c r="F459" i="3"/>
  <c r="E337" i="3"/>
  <c r="E470" i="3" s="1"/>
  <c r="F460" i="3"/>
  <c r="E497" i="3"/>
  <c r="F454" i="3"/>
  <c r="F345" i="3"/>
  <c r="E227" i="3"/>
  <c r="E464" i="3" s="1"/>
  <c r="E410" i="3"/>
  <c r="F410" i="3" s="1"/>
  <c r="F346" i="3"/>
  <c r="F271" i="3"/>
  <c r="E20" i="3"/>
  <c r="E454" i="3" s="1"/>
  <c r="E467" i="3"/>
  <c r="F260" i="3"/>
  <c r="F128" i="3"/>
  <c r="E459" i="3"/>
  <c r="F9" i="3"/>
  <c r="E10" i="3"/>
  <c r="E465" i="3"/>
  <c r="F247" i="3"/>
  <c r="F455" i="3"/>
  <c r="D261" i="3"/>
  <c r="D449" i="3" s="1"/>
  <c r="D467" i="3"/>
  <c r="F467" i="3" s="1"/>
  <c r="F239" i="3"/>
  <c r="E462" i="3"/>
  <c r="E461" i="3"/>
  <c r="F281" i="3"/>
  <c r="F337" i="3"/>
  <c r="F211" i="3"/>
  <c r="E463" i="3"/>
  <c r="E469" i="3"/>
  <c r="F294" i="3"/>
  <c r="E455" i="3"/>
  <c r="F62" i="3"/>
  <c r="E460" i="3"/>
  <c r="F167" i="3"/>
  <c r="C449" i="3"/>
  <c r="C471" i="3"/>
  <c r="F471" i="3" s="1"/>
  <c r="F445" i="3"/>
  <c r="F227" i="3" l="1"/>
  <c r="F20" i="3"/>
  <c r="E446" i="3"/>
  <c r="C474" i="3"/>
  <c r="E261" i="3"/>
  <c r="F261" i="3" s="1"/>
  <c r="D474" i="3"/>
  <c r="E471" i="3"/>
  <c r="F446" i="3"/>
  <c r="F10" i="3"/>
  <c r="E453" i="3"/>
  <c r="E449" i="3" l="1"/>
  <c r="H452" i="3" s="1"/>
  <c r="F474" i="3"/>
  <c r="E474" i="3"/>
  <c r="D477" i="3" s="1"/>
  <c r="C479" i="3" s="1"/>
  <c r="F449" i="3" l="1"/>
  <c r="N395" i="2"/>
  <c r="O395" i="2" s="1"/>
  <c r="L395" i="2"/>
  <c r="N260" i="2"/>
  <c r="O260" i="2" s="1"/>
  <c r="L260" i="2"/>
  <c r="L73" i="2"/>
  <c r="N73" i="2"/>
  <c r="O73" i="2" s="1"/>
  <c r="C316" i="2" l="1"/>
  <c r="L555" i="2" l="1"/>
  <c r="D551" i="2"/>
  <c r="F548" i="2"/>
  <c r="N522" i="2"/>
  <c r="C522" i="2"/>
  <c r="N521" i="2"/>
  <c r="C521" i="2"/>
  <c r="N516" i="2"/>
  <c r="O516" i="2" s="1"/>
  <c r="M516" i="2"/>
  <c r="C516" i="2"/>
  <c r="O515" i="2"/>
  <c r="N510" i="2"/>
  <c r="O510" i="2" s="1"/>
  <c r="M510" i="2"/>
  <c r="C510" i="2"/>
  <c r="N507" i="2"/>
  <c r="O507" i="2" s="1"/>
  <c r="M507" i="2"/>
  <c r="C507" i="2"/>
  <c r="N506" i="2"/>
  <c r="O506" i="2" s="1"/>
  <c r="M506" i="2"/>
  <c r="C506" i="2"/>
  <c r="N505" i="2"/>
  <c r="O505" i="2" s="1"/>
  <c r="M505" i="2"/>
  <c r="C505" i="2"/>
  <c r="N504" i="2"/>
  <c r="O504" i="2" s="1"/>
  <c r="M504" i="2"/>
  <c r="C504" i="2"/>
  <c r="N502" i="2"/>
  <c r="O502" i="2" s="1"/>
  <c r="M502" i="2"/>
  <c r="C502" i="2"/>
  <c r="J498" i="2"/>
  <c r="I498" i="2"/>
  <c r="G498" i="2"/>
  <c r="F498" i="2"/>
  <c r="E498" i="2"/>
  <c r="H495" i="2"/>
  <c r="M494" i="2"/>
  <c r="M467" i="2"/>
  <c r="N467" i="2"/>
  <c r="L467" i="2"/>
  <c r="M458" i="2"/>
  <c r="M446" i="2"/>
  <c r="M419" i="2"/>
  <c r="L419" i="2"/>
  <c r="M406" i="2"/>
  <c r="E546" i="2" s="1"/>
  <c r="D546" i="2"/>
  <c r="N406" i="2"/>
  <c r="L406" i="2"/>
  <c r="M396" i="2"/>
  <c r="D545" i="2"/>
  <c r="K396" i="2"/>
  <c r="M386" i="2"/>
  <c r="D498" i="2"/>
  <c r="M332" i="2"/>
  <c r="E552" i="2" s="1"/>
  <c r="C332" i="2"/>
  <c r="D552" i="2" s="1"/>
  <c r="M316" i="2"/>
  <c r="E551" i="2" s="1"/>
  <c r="L316" i="2"/>
  <c r="M306" i="2"/>
  <c r="H554" i="2" s="1"/>
  <c r="C306" i="2"/>
  <c r="G554" i="2" s="1"/>
  <c r="N306" i="2"/>
  <c r="L306" i="2"/>
  <c r="M278" i="2"/>
  <c r="E540" i="2" s="1"/>
  <c r="D540" i="2"/>
  <c r="M261" i="2"/>
  <c r="M514" i="2" s="1"/>
  <c r="C261" i="2"/>
  <c r="L261" i="2"/>
  <c r="K261" i="2"/>
  <c r="M252" i="2"/>
  <c r="E537" i="2" s="1"/>
  <c r="C511" i="2"/>
  <c r="M241" i="2"/>
  <c r="M513" i="2" s="1"/>
  <c r="C241" i="2"/>
  <c r="D539" i="2" s="1"/>
  <c r="M222" i="2"/>
  <c r="E536" i="2" s="1"/>
  <c r="C222" i="2"/>
  <c r="C512" i="2" s="1"/>
  <c r="M171" i="2"/>
  <c r="E549" i="2" s="1"/>
  <c r="M140" i="2"/>
  <c r="M508" i="2" s="1"/>
  <c r="H498" i="2"/>
  <c r="M56" i="2"/>
  <c r="E543" i="2" s="1"/>
  <c r="M31" i="2"/>
  <c r="E542" i="2" s="1"/>
  <c r="C31" i="2"/>
  <c r="D542" i="2" s="1"/>
  <c r="N21" i="2"/>
  <c r="O21" i="2" s="1"/>
  <c r="N20" i="2"/>
  <c r="O20" i="2" s="1"/>
  <c r="M11" i="2"/>
  <c r="E541" i="2" s="1"/>
  <c r="C11" i="2"/>
  <c r="D541" i="2" s="1"/>
  <c r="N11" i="2"/>
  <c r="K11" i="2"/>
  <c r="C520" i="2" l="1"/>
  <c r="C514" i="2"/>
  <c r="C293" i="2"/>
  <c r="O467" i="2"/>
  <c r="C56" i="2"/>
  <c r="D543" i="2" s="1"/>
  <c r="F543" i="2" s="1"/>
  <c r="N131" i="2"/>
  <c r="O131" i="2" s="1"/>
  <c r="L131" i="2"/>
  <c r="N382" i="2"/>
  <c r="O382" i="2" s="1"/>
  <c r="L382" i="2"/>
  <c r="D547" i="2"/>
  <c r="N98" i="2"/>
  <c r="O98" i="2" s="1"/>
  <c r="L98" i="2"/>
  <c r="D549" i="2"/>
  <c r="F549" i="2" s="1"/>
  <c r="L163" i="2"/>
  <c r="N163" i="2"/>
  <c r="O163" i="2" s="1"/>
  <c r="L11" i="2"/>
  <c r="L458" i="2"/>
  <c r="K446" i="2"/>
  <c r="L252" i="2"/>
  <c r="O306" i="2"/>
  <c r="N517" i="2" s="1"/>
  <c r="O517" i="2" s="1"/>
  <c r="K332" i="2"/>
  <c r="C529" i="2"/>
  <c r="O11" i="2"/>
  <c r="F541" i="2"/>
  <c r="K171" i="2"/>
  <c r="K222" i="2"/>
  <c r="K252" i="2"/>
  <c r="L278" i="2"/>
  <c r="K306" i="2"/>
  <c r="K458" i="2"/>
  <c r="D536" i="2"/>
  <c r="F536" i="2" s="1"/>
  <c r="L31" i="2"/>
  <c r="L222" i="2"/>
  <c r="F552" i="2"/>
  <c r="K406" i="2"/>
  <c r="K419" i="2"/>
  <c r="L446" i="2"/>
  <c r="C517" i="2"/>
  <c r="D537" i="2"/>
  <c r="F537" i="2" s="1"/>
  <c r="D554" i="2"/>
  <c r="N31" i="2"/>
  <c r="O31" i="2" s="1"/>
  <c r="N503" i="2" s="1"/>
  <c r="O503" i="2" s="1"/>
  <c r="C518" i="2"/>
  <c r="K56" i="2"/>
  <c r="L332" i="2"/>
  <c r="O406" i="2"/>
  <c r="L494" i="2"/>
  <c r="F551" i="2"/>
  <c r="N458" i="2"/>
  <c r="O458" i="2" s="1"/>
  <c r="N278" i="2"/>
  <c r="O278" i="2" s="1"/>
  <c r="K467" i="2"/>
  <c r="N446" i="2"/>
  <c r="O446" i="2" s="1"/>
  <c r="N419" i="2"/>
  <c r="O419" i="2" s="1"/>
  <c r="H545" i="2"/>
  <c r="J554" i="2"/>
  <c r="I554" i="2"/>
  <c r="M554" i="2" s="1"/>
  <c r="E554" i="2"/>
  <c r="M517" i="2"/>
  <c r="E545" i="2"/>
  <c r="F545" i="2" s="1"/>
  <c r="N332" i="2"/>
  <c r="O332" i="2" s="1"/>
  <c r="N316" i="2"/>
  <c r="O316" i="2" s="1"/>
  <c r="K494" i="2"/>
  <c r="N494" i="2"/>
  <c r="O494" i="2" s="1"/>
  <c r="L396" i="2"/>
  <c r="N396" i="2"/>
  <c r="O396" i="2" s="1"/>
  <c r="G545" i="2"/>
  <c r="F546" i="2"/>
  <c r="K316" i="2"/>
  <c r="D538" i="2"/>
  <c r="K241" i="2"/>
  <c r="C513" i="2"/>
  <c r="K31" i="2"/>
  <c r="E538" i="2"/>
  <c r="N261" i="2"/>
  <c r="O261" i="2" s="1"/>
  <c r="N514" i="2" s="1"/>
  <c r="O514" i="2" s="1"/>
  <c r="M512" i="2"/>
  <c r="N222" i="2"/>
  <c r="O222" i="2" s="1"/>
  <c r="N512" i="2" s="1"/>
  <c r="O512" i="2" s="1"/>
  <c r="K278" i="2"/>
  <c r="F540" i="2"/>
  <c r="G536" i="2"/>
  <c r="M536" i="2" s="1"/>
  <c r="N252" i="2"/>
  <c r="O252" i="2" s="1"/>
  <c r="N511" i="2" s="1"/>
  <c r="O511" i="2" s="1"/>
  <c r="M511" i="2"/>
  <c r="F542" i="2"/>
  <c r="C503" i="2"/>
  <c r="M503" i="2"/>
  <c r="H552" i="2"/>
  <c r="M518" i="2"/>
  <c r="M495" i="2"/>
  <c r="E550" i="2" s="1"/>
  <c r="K140" i="2"/>
  <c r="E553" i="2"/>
  <c r="M519" i="2"/>
  <c r="L56" i="2"/>
  <c r="L241" i="2"/>
  <c r="M293" i="2"/>
  <c r="E539" i="2"/>
  <c r="F539" i="2" s="1"/>
  <c r="N241" i="2"/>
  <c r="H536" i="2"/>
  <c r="H541" i="2"/>
  <c r="H547" i="2"/>
  <c r="E547" i="2"/>
  <c r="H549" i="2"/>
  <c r="M509" i="2"/>
  <c r="G550" i="2" l="1"/>
  <c r="N56" i="2"/>
  <c r="O56" i="2" s="1"/>
  <c r="G541" i="2"/>
  <c r="I541" i="2" s="1"/>
  <c r="M541" i="2" s="1"/>
  <c r="C509" i="2"/>
  <c r="N171" i="2"/>
  <c r="O171" i="2" s="1"/>
  <c r="N509" i="2" s="1"/>
  <c r="O509" i="2" s="1"/>
  <c r="G549" i="2"/>
  <c r="J549" i="2" s="1"/>
  <c r="F547" i="2"/>
  <c r="G547" i="2"/>
  <c r="J547" i="2" s="1"/>
  <c r="C508" i="2"/>
  <c r="N140" i="2"/>
  <c r="O140" i="2" s="1"/>
  <c r="N508" i="2" s="1"/>
  <c r="O508" i="2" s="1"/>
  <c r="C498" i="2"/>
  <c r="L495" i="2"/>
  <c r="F554" i="2"/>
  <c r="L140" i="2"/>
  <c r="L171" i="2"/>
  <c r="L386" i="2"/>
  <c r="L293" i="2"/>
  <c r="N386" i="2"/>
  <c r="O386" i="2" s="1"/>
  <c r="N519" i="2" s="1"/>
  <c r="O519" i="2" s="1"/>
  <c r="D550" i="2"/>
  <c r="F550" i="2" s="1"/>
  <c r="G552" i="2"/>
  <c r="J552" i="2" s="1"/>
  <c r="C519" i="2"/>
  <c r="D553" i="2"/>
  <c r="K386" i="2"/>
  <c r="I545" i="2"/>
  <c r="M545" i="2" s="1"/>
  <c r="J545" i="2"/>
  <c r="K293" i="2"/>
  <c r="K495" i="2"/>
  <c r="N495" i="2"/>
  <c r="O495" i="2" s="1"/>
  <c r="N520" i="2" s="1"/>
  <c r="O520" i="2" s="1"/>
  <c r="F538" i="2"/>
  <c r="H550" i="2"/>
  <c r="I550" i="2" s="1"/>
  <c r="M550" i="2" s="1"/>
  <c r="L560" i="2" s="1"/>
  <c r="E555" i="2"/>
  <c r="M520" i="2"/>
  <c r="M523" i="2" s="1"/>
  <c r="M498" i="2"/>
  <c r="J536" i="2"/>
  <c r="I536" i="2"/>
  <c r="J541" i="2"/>
  <c r="O241" i="2"/>
  <c r="N513" i="2" s="1"/>
  <c r="O513" i="2" s="1"/>
  <c r="N293" i="2"/>
  <c r="O293" i="2" s="1"/>
  <c r="I549" i="2" l="1"/>
  <c r="M549" i="2" s="1"/>
  <c r="C523" i="2"/>
  <c r="I547" i="2"/>
  <c r="M547" i="2" s="1"/>
  <c r="L498" i="2"/>
  <c r="C531" i="2" s="1"/>
  <c r="I552" i="2"/>
  <c r="M552" i="2" s="1"/>
  <c r="N518" i="2"/>
  <c r="O518" i="2" s="1"/>
  <c r="D555" i="2"/>
  <c r="F555" i="2" s="1"/>
  <c r="E558" i="2" s="1"/>
  <c r="G555" i="2"/>
  <c r="F553" i="2"/>
  <c r="H555" i="2"/>
  <c r="K498" i="2"/>
  <c r="J550" i="2"/>
  <c r="N498" i="2"/>
  <c r="O498" i="2" s="1"/>
  <c r="N523" i="2" s="1"/>
  <c r="O523" i="2" s="1"/>
  <c r="M555" i="2" l="1"/>
  <c r="L557" i="2" s="1"/>
  <c r="M557" i="2"/>
  <c r="J555" i="2"/>
  <c r="I555" i="2"/>
  <c r="N531" i="2"/>
  <c r="K529" i="2"/>
  <c r="K531" i="2" s="1"/>
</calcChain>
</file>

<file path=xl/comments1.xml><?xml version="1.0" encoding="utf-8"?>
<comments xmlns="http://schemas.openxmlformats.org/spreadsheetml/2006/main">
  <authors>
    <author>Dagoberto Canizales Ortiz</author>
  </authors>
  <commentList>
    <comment ref="A389" authorId="0" shapeId="0">
      <text>
        <r>
          <rPr>
            <b/>
            <sz val="9"/>
            <color indexed="81"/>
            <rFont val="Tahoma"/>
            <family val="2"/>
          </rPr>
          <t>Dagoberto Canizales Ortiz:</t>
        </r>
        <r>
          <rPr>
            <sz val="9"/>
            <color indexed="81"/>
            <rFont val="Tahoma"/>
            <family val="2"/>
          </rPr>
          <t xml:space="preserve">
en abril las jornada y durante todo el año </t>
        </r>
      </text>
    </comment>
    <comment ref="A390" authorId="0" shapeId="0">
      <text>
        <r>
          <rPr>
            <b/>
            <sz val="9"/>
            <color indexed="81"/>
            <rFont val="Tahoma"/>
            <family val="2"/>
          </rPr>
          <t>Dagoberto Canizales Ortiz:</t>
        </r>
        <r>
          <rPr>
            <sz val="9"/>
            <color indexed="81"/>
            <rFont val="Tahoma"/>
            <family val="2"/>
          </rPr>
          <t xml:space="preserve">
calibracion equipos y examenes y pruebas teorico practicas conductores </t>
        </r>
      </text>
    </comment>
    <comment ref="A391" authorId="0" shapeId="0">
      <text>
        <r>
          <rPr>
            <b/>
            <sz val="9"/>
            <color indexed="81"/>
            <rFont val="Tahoma"/>
            <family val="2"/>
          </rPr>
          <t>Dagoberto Canizales Ortiz:</t>
        </r>
        <r>
          <rPr>
            <sz val="9"/>
            <color indexed="81"/>
            <rFont val="Tahoma"/>
            <family val="2"/>
          </rPr>
          <t xml:space="preserve">
rumba erobico, capacitacion higiene postural o yoga </t>
        </r>
      </text>
    </comment>
  </commentList>
</comments>
</file>

<file path=xl/comments2.xml><?xml version="1.0" encoding="utf-8"?>
<comments xmlns="http://schemas.openxmlformats.org/spreadsheetml/2006/main">
  <authors>
    <author>Dagoberto Canizales Ortiz</author>
  </authors>
  <commentList>
    <comment ref="A455" authorId="0" shapeId="0">
      <text>
        <r>
          <rPr>
            <b/>
            <sz val="9"/>
            <color indexed="81"/>
            <rFont val="Tahoma"/>
            <family val="2"/>
          </rPr>
          <t>Dagoberto Canizales Ortiz:</t>
        </r>
        <r>
          <rPr>
            <sz val="9"/>
            <color indexed="81"/>
            <rFont val="Tahoma"/>
            <family val="2"/>
          </rPr>
          <t xml:space="preserve">
en abril las jornada y durante todo el año </t>
        </r>
      </text>
    </comment>
    <comment ref="A456" authorId="0" shapeId="0">
      <text>
        <r>
          <rPr>
            <b/>
            <sz val="9"/>
            <color indexed="81"/>
            <rFont val="Tahoma"/>
            <family val="2"/>
          </rPr>
          <t>Dagoberto Canizales Ortiz:</t>
        </r>
        <r>
          <rPr>
            <sz val="9"/>
            <color indexed="81"/>
            <rFont val="Tahoma"/>
            <family val="2"/>
          </rPr>
          <t xml:space="preserve">
calibracion equipos y examenes y pruebas teorico practicas conductores </t>
        </r>
      </text>
    </comment>
    <comment ref="A457" authorId="0" shapeId="0">
      <text>
        <r>
          <rPr>
            <b/>
            <sz val="9"/>
            <color indexed="81"/>
            <rFont val="Tahoma"/>
            <family val="2"/>
          </rPr>
          <t>Dagoberto Canizales Ortiz:</t>
        </r>
        <r>
          <rPr>
            <sz val="9"/>
            <color indexed="81"/>
            <rFont val="Tahoma"/>
            <family val="2"/>
          </rPr>
          <t xml:space="preserve">
rumba erobico, capacitacion higiene postural o yoga </t>
        </r>
      </text>
    </comment>
  </commentList>
</comments>
</file>

<file path=xl/sharedStrings.xml><?xml version="1.0" encoding="utf-8"?>
<sst xmlns="http://schemas.openxmlformats.org/spreadsheetml/2006/main" count="3164" uniqueCount="711">
  <si>
    <t>PENAL</t>
  </si>
  <si>
    <t>LINEA ESTRATEGICA 1:</t>
  </si>
  <si>
    <t>Una Personería actuantdo y donde todos contamos</t>
  </si>
  <si>
    <t>COMPONENTE</t>
  </si>
  <si>
    <t>Acciones encaminadas a lograr una pronta y efectiva justicia generadora de paz en el territorio, buscando el fortalecimiento de los DDHH</t>
  </si>
  <si>
    <t>PROGRAMA</t>
  </si>
  <si>
    <t>PROCESO</t>
  </si>
  <si>
    <t>Guarda y Promoción de los DDHH</t>
  </si>
  <si>
    <t>ÁREA</t>
  </si>
  <si>
    <t>Penal</t>
  </si>
  <si>
    <t>ACTIVIDAD</t>
  </si>
  <si>
    <t>META DE LA ACTIVIDAD</t>
  </si>
  <si>
    <t>RECURSOS ASIGNADOS                    ENE - DIC</t>
  </si>
  <si>
    <t>RECURSOS EJECUTADOS DE ENE - DIC</t>
  </si>
  <si>
    <t>RECURSOS POR EJECUTAR</t>
  </si>
  <si>
    <t>%  POR EJECUTAR</t>
  </si>
  <si>
    <t>CONTRATISTA</t>
  </si>
  <si>
    <t>OBJETO CONTRATUAL</t>
  </si>
  <si>
    <t>OBSERVACIONES</t>
  </si>
  <si>
    <t>Actividades sin recursos</t>
  </si>
  <si>
    <t>ATENCIÓN AL PÚBLICO</t>
  </si>
  <si>
    <t>Atención al Público</t>
  </si>
  <si>
    <t>Talleres de apoyo Psicosocial</t>
  </si>
  <si>
    <t xml:space="preserve">Apoyo a fechas conmemorativas en el marco de los derechos humanos  </t>
  </si>
  <si>
    <t>Desconcentrar los servicios que tiene a cargo la Personería de Medellín, prestando atención al público en las comunas y corregimientos de la Ciudad, poniendo en marcha actividades de incidencia en campo y dando a conocer nuestra oferta institucional</t>
  </si>
  <si>
    <t>LINEA ESTRATEGICA 4:</t>
  </si>
  <si>
    <t>Una Personería que comunica, evalua y aplica tecnológia en su servicio</t>
  </si>
  <si>
    <t>Personería de Medellín en línea</t>
  </si>
  <si>
    <t>Diversificación de canales</t>
  </si>
  <si>
    <t>UPDH</t>
  </si>
  <si>
    <t>Generar espacios de discusión, analisis y proposiciones en situaciones de Derechos Humanos con organizaciones de la sociedad civil y la institucionalidad</t>
  </si>
  <si>
    <t>LINEA ESTRATEGICA 5:</t>
  </si>
  <si>
    <t>UNA  PERSONERIA QUE GESTIONA EN FORMA TRANSPARENTE Y EFICIENTE SUS RECURSOS</t>
  </si>
  <si>
    <t>Gestión de programas atraves de cooperación nacional e internacional</t>
  </si>
  <si>
    <t>TOTALES UPDH</t>
  </si>
  <si>
    <t>DISCIPLINARIOS</t>
  </si>
  <si>
    <t>Vigilancia efectiva y eficiente de la función publica</t>
  </si>
  <si>
    <t>UVCO</t>
  </si>
  <si>
    <t>Disciplinarios</t>
  </si>
  <si>
    <t>TOTALES DISCIPLINARIOS</t>
  </si>
  <si>
    <t>VIGILANCIA</t>
  </si>
  <si>
    <t>TOTALES VIGILANCIA</t>
  </si>
  <si>
    <t>CONCILIACIONES</t>
  </si>
  <si>
    <t>Una personería que comunica, evalúa  y  aplica tecnología en su servicio</t>
  </si>
  <si>
    <t>UPIP</t>
  </si>
  <si>
    <t>Una Personería actuando y donde todos contamos</t>
  </si>
  <si>
    <t>Acciones para la protección del interés público y la paz en los territorios</t>
  </si>
  <si>
    <t>Gobierno escolar  y educación con enfoque de participación</t>
  </si>
  <si>
    <t>Unidad para la Protección del Interes Público</t>
  </si>
  <si>
    <t>Sensibilización, elección, posesión y rendición de cuentas de los personeros estudiantiles (Ley 115/94)</t>
  </si>
  <si>
    <t>Formación con enfoque diferencial para la defensa del ser humano  y su entorno</t>
  </si>
  <si>
    <t>UPIP - formacion</t>
  </si>
  <si>
    <t>Paz y postacuerdo</t>
  </si>
  <si>
    <t>Entornos protectores para la guarda y promoción de los derechos de la mujer, los niños, niñas y adolesentes</t>
  </si>
  <si>
    <t>Seguimiento a las políticas públicas de  protección y promoción de derechos de los NNA, la mujer y la familia</t>
  </si>
  <si>
    <t>construcción de entornos protectores y la promoción de la no Violencia</t>
  </si>
  <si>
    <t>Compromisos ciudadanos para empoderar a las comunidades en sus territorios</t>
  </si>
  <si>
    <t>Participación, control y vigilancia ciudadana</t>
  </si>
  <si>
    <t xml:space="preserve">Sensibilización y seguimiento a veedurìas ciudadanas </t>
  </si>
  <si>
    <t>Rendición de cuentas Veedurías ciudadanas</t>
  </si>
  <si>
    <t>TOTALES UPIP</t>
  </si>
  <si>
    <t>COMUNICACIONES</t>
  </si>
  <si>
    <t>LINEA ESTRATEGICA 3:</t>
  </si>
  <si>
    <t>Una personería con estándares de calidad, profesionalizada, tecnificada, con comunicación efectiva y altos estímulos laborales</t>
  </si>
  <si>
    <t>Gestión de Comunicaciones</t>
  </si>
  <si>
    <t>Oficina de Comunicaciones</t>
  </si>
  <si>
    <t>Estrategias de movilización ciudadana</t>
  </si>
  <si>
    <t>Estrategia digital</t>
  </si>
  <si>
    <t>Posicionamiento y publicidad</t>
  </si>
  <si>
    <t xml:space="preserve">Monitoreo de medios e informacion valorada </t>
  </si>
  <si>
    <t>Suscripciones a periodicos</t>
  </si>
  <si>
    <t xml:space="preserve">Estructuracion de equipo </t>
  </si>
  <si>
    <t>TOTALES COMUNICACIONES</t>
  </si>
  <si>
    <t>ASESOR DE DESPACHO</t>
  </si>
  <si>
    <t>PROTECCION Y DEFENSA DE LA ENTIDAD</t>
  </si>
  <si>
    <t>Asesor de Despacho</t>
  </si>
  <si>
    <t>OBSERVATORIOS</t>
  </si>
  <si>
    <t>Desarrollo del pensamiento estratégico para la toma de decisiones</t>
  </si>
  <si>
    <t>Observatorio del derecho fundamental a la salud</t>
  </si>
  <si>
    <t>Investigación en Derechos Humanos</t>
  </si>
  <si>
    <t>Observatorio de Salud</t>
  </si>
  <si>
    <t>Planteamiento del problema y diseño de instrumentos</t>
  </si>
  <si>
    <t>Recolección de información</t>
  </si>
  <si>
    <t>Depuración de información</t>
  </si>
  <si>
    <t>Interpretaciòn de datos</t>
  </si>
  <si>
    <t>Informe</t>
  </si>
  <si>
    <t>2. Sondeo estadístico sobre el acceso al servicio de salud del Centro de Regulación de Urgencias y Emergencias Metrosalud, barreras identificadas</t>
  </si>
  <si>
    <t>Mesas de trabajo</t>
  </si>
  <si>
    <t>INSPECCION, VIGILANCIA Y/O CONTROL EN SALUD</t>
  </si>
  <si>
    <t>Encuentros Red de Controladores en Salud</t>
  </si>
  <si>
    <t xml:space="preserve">Verificación del Derecho Fundamental a la salud con Red de Controladores en Salud. </t>
  </si>
  <si>
    <t>Mesas de trabajo con EPS, Rama Judicial y Ministerio Público Departamental</t>
  </si>
  <si>
    <t>REDES SOCIALES EN DEFENSA DEL DERECHO FUNDAMENTAL A LA SALUD</t>
  </si>
  <si>
    <t>Diálogos en Salud (con diversos actores del SGSSS)</t>
  </si>
  <si>
    <t xml:space="preserve">Momentos de verdad en salud (Acompañamiento a pacientes de alta complejidad terapeutica) </t>
  </si>
  <si>
    <t>Participación y apoyo a Mesa de Salud Antioquia</t>
  </si>
  <si>
    <t xml:space="preserve">Sensibilización a la comunidad en derechos y deberes en salud </t>
  </si>
  <si>
    <t>Apoyo a grupos focales</t>
  </si>
  <si>
    <t>Acompañamiento y apoyo a Red de Apoyo Interinstitucional en Salud -RAIS-</t>
  </si>
  <si>
    <t>Participación y apoyo a la Red de Observatorios Nodo Antioquia y otros observatorios</t>
  </si>
  <si>
    <t>TOTALES DE OBS. DE SALUD</t>
  </si>
  <si>
    <t>TOTALES DE OBS. DE PP</t>
  </si>
  <si>
    <t>Observatorio de reasentamiento y movimiento de población</t>
  </si>
  <si>
    <t>Observatorio de Reasentamiento</t>
  </si>
  <si>
    <t>TOTALES DE OBS. DE REASENTAMIENTO</t>
  </si>
  <si>
    <t>Observatorio de Sistema Penal Oral Acusatorio</t>
  </si>
  <si>
    <t>TOTALES DE OBS. DE SPOA</t>
  </si>
  <si>
    <t>LINEA ESTRATEGICA 2:</t>
  </si>
  <si>
    <t>Una Personeria defendiendo el medio ambiente, el habitat y los animales</t>
  </si>
  <si>
    <t>Ambiente, hábitat y sociedad</t>
  </si>
  <si>
    <t>Observatorio de derechos colectivos y del ambiente</t>
  </si>
  <si>
    <t>PROGRAMA ESTRATÉGICO</t>
  </si>
  <si>
    <t>Seguimiento a problemáticas ambientales</t>
  </si>
  <si>
    <t>Observatorio de Medio Ambiente</t>
  </si>
  <si>
    <t>Promoción de los Derechos colectivos y del Ambiente (Persoamiga)</t>
  </si>
  <si>
    <t>CONTROL INTERNO</t>
  </si>
  <si>
    <t>Controlar, asegurar y verificar el funcionamiento armónico de la entidad</t>
  </si>
  <si>
    <t>Evaluación independiente</t>
  </si>
  <si>
    <t>Oficina de Control Interno</t>
  </si>
  <si>
    <t xml:space="preserve">Fomento de la cultura del Autocontrol, Autorregulación y Autogestión </t>
  </si>
  <si>
    <t xml:space="preserve">Campaña Interna Autocontrol </t>
  </si>
  <si>
    <t>TOTALES CONTROL INTERNO</t>
  </si>
  <si>
    <t>OFICINA ASESORA DE PLANEACIÓN</t>
  </si>
  <si>
    <t>Una Personería con estándares de calidad, profesionalizada, tecnificada, con comunicación efectiva y altos estímulos laborales</t>
  </si>
  <si>
    <t>Idoneidad y bienestar laboral para los servidores públicos de la entidad, en función del servicio</t>
  </si>
  <si>
    <t>Oficina Asesora de Planeación</t>
  </si>
  <si>
    <t>Sistema de gestión de la calidad integral</t>
  </si>
  <si>
    <t>Plan de implementación norma ISO 9001:2015</t>
  </si>
  <si>
    <t xml:space="preserve">Mejoramiento Continuo </t>
  </si>
  <si>
    <t>TOTALES OFI DE PLANEACIÓN</t>
  </si>
  <si>
    <t>SISTEMAS</t>
  </si>
  <si>
    <t>Una Personería que comunica, evalua y aplica tecnología en su servicio</t>
  </si>
  <si>
    <t xml:space="preserve">Plan de TIC </t>
  </si>
  <si>
    <t>Oficna de Planeaciòn</t>
  </si>
  <si>
    <t>Sistemas</t>
  </si>
  <si>
    <t>Software</t>
  </si>
  <si>
    <t>Renovación de licenciamiento de antivirus ESET, por un (1) año</t>
  </si>
  <si>
    <t>HARDWARE</t>
  </si>
  <si>
    <t>Suministro de ordenadores personales tipo ALL IN ONE</t>
  </si>
  <si>
    <t>MANTENIMIENTOS Y SERVICIOS</t>
  </si>
  <si>
    <t>Outsorcing de impresión por 12 meses papel incluido carta y folio</t>
  </si>
  <si>
    <t>TOTALES DE SISTEMAS</t>
  </si>
  <si>
    <t>PERSONERIA AUXILIAR</t>
  </si>
  <si>
    <t xml:space="preserve">Capacitación Institucional </t>
  </si>
  <si>
    <t>Personería Auxiliar</t>
  </si>
  <si>
    <t>Talento Humano</t>
  </si>
  <si>
    <t xml:space="preserve">TOTALES PLAN DE CAPACITACIÓN </t>
  </si>
  <si>
    <t>Bienestar laboral</t>
  </si>
  <si>
    <t>Protección y servicios sociales</t>
  </si>
  <si>
    <t>Prestamo de Calamidad  y urgencia familiar</t>
  </si>
  <si>
    <t>Promoción del tiempo libre y actividades saludables</t>
  </si>
  <si>
    <t>Vivienda</t>
  </si>
  <si>
    <t>Cultural, recreacion y social</t>
  </si>
  <si>
    <t>Integración familiar</t>
  </si>
  <si>
    <t xml:space="preserve">Exaltaciones </t>
  </si>
  <si>
    <t>Calidad de vida laboral</t>
  </si>
  <si>
    <t>Retiro laboral asistido</t>
  </si>
  <si>
    <t>Estimulo a la educación superior</t>
  </si>
  <si>
    <t>Mejores empleados</t>
  </si>
  <si>
    <t>TOTALES PLAN DE BIENESTAR</t>
  </si>
  <si>
    <t>Plan de implementación del sistema de seguridad y salud ocupacional</t>
  </si>
  <si>
    <t>Personerìa auxiliar -  Oficina Asesora de Planeación</t>
  </si>
  <si>
    <t>GESTION DOCUMENTAL CON ACCESO Y CONFIABILIDAD CON ESTANDARES DE CALIDAD</t>
  </si>
  <si>
    <t>Plan de gestión documental</t>
  </si>
  <si>
    <t>Gestión Documental</t>
  </si>
  <si>
    <t>TOTALES DEL PROGRAMA DE DOCUMENTAL</t>
  </si>
  <si>
    <t>Bienes públicos óptimos y eficientes</t>
  </si>
  <si>
    <t>Plan de bienes administrativos</t>
  </si>
  <si>
    <t>Gestión Administrativa</t>
  </si>
  <si>
    <t>1, Dotación y suministros</t>
  </si>
  <si>
    <t>1.1, Plan de Adquisicion de bienes</t>
  </si>
  <si>
    <t>1.2 Plan de Mantenimineto edificio</t>
  </si>
  <si>
    <t>1.3 Otras actividades</t>
  </si>
  <si>
    <t>Abastecimiento de, papeleria y elementos de oficina general</t>
  </si>
  <si>
    <t>Servicio de correspondencia urbana, departamental, nacional e internacional</t>
  </si>
  <si>
    <t xml:space="preserve">Suministros de los insumos de cafeteria y aseo </t>
  </si>
  <si>
    <t>Jornada 5S</t>
  </si>
  <si>
    <t>Servicio del personal de aseo</t>
  </si>
  <si>
    <t xml:space="preserve">Suministro de llantas para los vehiculos </t>
  </si>
  <si>
    <t>Suministro de combustible</t>
  </si>
  <si>
    <t>adquision de vehiculo</t>
  </si>
  <si>
    <t>TOTALES DEL PROGRAMA DE ADMINISTRATIVA</t>
  </si>
  <si>
    <t>TOTALES DE PERSONERÍA AUXILIAR</t>
  </si>
  <si>
    <t>GRAN TOTAL</t>
  </si>
  <si>
    <t>RESUMEN TOTAL DE RECURSOS ASIGNADOS POR ÁREAS</t>
  </si>
  <si>
    <t>RECURSOS ASIGNADO</t>
  </si>
  <si>
    <t>RECURSOS EJECUTADOS A LA FECHA</t>
  </si>
  <si>
    <t>% POR EJECUTAR</t>
  </si>
  <si>
    <t>% EJECUTADO</t>
  </si>
  <si>
    <t>OBS. REASENTAMIENTO</t>
  </si>
  <si>
    <t>OBS. SALUD</t>
  </si>
  <si>
    <t>OBS. PP</t>
  </si>
  <si>
    <t>OBS. SPOA</t>
  </si>
  <si>
    <t>OBS. SEGURIDAD HUMANA</t>
  </si>
  <si>
    <t>OBS. AMBIENTE</t>
  </si>
  <si>
    <t>OFI DE PLANEACIÓN</t>
  </si>
  <si>
    <t>PERSONERÍA AUXILIAR</t>
  </si>
  <si>
    <t>PLAN DE BIENESTAR</t>
  </si>
  <si>
    <t>PLAN DE CAPACITACIÓN</t>
  </si>
  <si>
    <t>Protección ante la fuga de datos y la mala gestión de recursos</t>
  </si>
  <si>
    <t>Estructuracion de equipo</t>
  </si>
  <si>
    <t xml:space="preserve">estructuracion de equipo </t>
  </si>
  <si>
    <t xml:space="preserve">ASESOR DEL DESPACHO </t>
  </si>
  <si>
    <t xml:space="preserve">TOTAL DEL ASESOR </t>
  </si>
  <si>
    <t>Actuación judicial, extrajudicial y administrativa (4 años)</t>
  </si>
  <si>
    <t>RESPONSABLE</t>
  </si>
  <si>
    <t>Despacho</t>
  </si>
  <si>
    <t xml:space="preserve">Asesor de Despacho </t>
  </si>
  <si>
    <t>Se destinan para el operdor</t>
  </si>
  <si>
    <t xml:space="preserve">mantenimiento locaciones </t>
  </si>
  <si>
    <t>PA - PO 2019</t>
  </si>
  <si>
    <t>Lanzamiento y oferta institucional de los nuevos servicios en la Plataforma virtual en medios de comunicación.</t>
  </si>
  <si>
    <t xml:space="preserve">Estructuración de equipos de trabajo </t>
  </si>
  <si>
    <t>Contribuir al mejoramiento de las relaciones con entidades publico - privadas para fortalecer la promoción, protección y defensa de los DDHH (4 años)</t>
  </si>
  <si>
    <t>Promover las estrategias formuladas desde el gobierno nacional en materia de prevención y sensibilización de paz en el marco del post-acuerdo (4 años)</t>
  </si>
  <si>
    <t>Conmemoracion de Derechos Humanos</t>
  </si>
  <si>
    <t>Curso - concurso de Derechos Humanos</t>
  </si>
  <si>
    <t xml:space="preserve">Reconocimiento lideres sociales y/o defensores de Derechos Humanos </t>
  </si>
  <si>
    <t>Investigadores</t>
  </si>
  <si>
    <t xml:space="preserve">TOTALES ATENCIÓN AL PÚBLICO </t>
  </si>
  <si>
    <t>Realizar actividades academicas de DDHH y DIH, de conformidad con las lineas de investigacion</t>
  </si>
  <si>
    <t xml:space="preserve">Apoyo al apoyo </t>
  </si>
  <si>
    <t>Sensibilización, promoción y eleccción de la mesa de participacion de victimas de las organizaciones afro e indigena 2017-2019, según Resolución 0677 de 2017 y la elección de la MMPEV según Resolución 0388 de 2013</t>
  </si>
  <si>
    <t>Acompañar, formar, fortalecer y apoyar a la Mesa Municipal de Participación de Víctimas en la ejecución de las líneas de acción descritas en su plan de trabajo elaborado dentro del marco de las funciones asignadas en el artículo 8 de la Resolución 0388 de 2013 y su respectivo Reglamento Interno.</t>
  </si>
  <si>
    <t>Acompañamiento e interpelación frente a la Reparación Integral de las Víctimas (RESUGIR)</t>
  </si>
  <si>
    <t>a solicitud de parte</t>
  </si>
  <si>
    <t>Red virtual, Manejo responsable de redes Sociales y Alertas Tempranas por TICS</t>
  </si>
  <si>
    <t>Conformación y desarrollo de la red Presencial de personeros, expersoneros, representantes estudiantiles  de Medellín y el área metropolitana.</t>
  </si>
  <si>
    <t>Escuela de Padres y acompañamiento en las I.E.</t>
  </si>
  <si>
    <t>Alfabetización en Constitución y Democracia a estudiantes ( Ley 107 de 1994)</t>
  </si>
  <si>
    <r>
      <t>Campaña: Territorio Verde, Territorio de Convivencia, una Personería Ambiental</t>
    </r>
    <r>
      <rPr>
        <sz val="8"/>
        <color rgb="FF000000"/>
        <rFont val="Arial"/>
        <family val="2"/>
      </rPr>
      <t xml:space="preserve">. </t>
    </r>
  </si>
  <si>
    <t>Estructuración de equipo de trabajo victimas</t>
  </si>
  <si>
    <t>Diplomado en Conciliación Extrajudicial</t>
  </si>
  <si>
    <t>Diplomado en lengua de señas nivel 1</t>
  </si>
  <si>
    <t>Diplomado en Derecho Laboral y Seguridad Social</t>
  </si>
  <si>
    <t>Diplomado en Amenazas Ambientales y las cuencas como articuladores en el territorio</t>
  </si>
  <si>
    <t>Diplomado en Lengua de señas nivel 2</t>
  </si>
  <si>
    <t>Diplomado en Gerencia Pública</t>
  </si>
  <si>
    <r>
      <t>Diplomado Sanando el ser a través</t>
    </r>
    <r>
      <rPr>
        <sz val="8"/>
        <color rgb="FF000000"/>
        <rFont val="Arial"/>
        <family val="2"/>
      </rPr>
      <t xml:space="preserve"> del saber</t>
    </r>
  </si>
  <si>
    <t>Diplomado en Derechos Humanos de la población LGBTI</t>
  </si>
  <si>
    <t>Capacitacion a las comunidades en el territorio</t>
  </si>
  <si>
    <t>A demanda</t>
  </si>
  <si>
    <t>Estructuracion de equipo de formación con enfoque diferencial</t>
  </si>
  <si>
    <t>Creación de Escuelas de Paz en los territorios</t>
  </si>
  <si>
    <t>Coordinación y acciones de seguimiento de la Comisión de Veeduría a la Política Pública de Infancia y Adolescencia (Acuerdo 84/06)</t>
  </si>
  <si>
    <t xml:space="preserve">seguimiento a la política pública de juventud y Sensibilización para registro en la plataforma de juventudes </t>
  </si>
  <si>
    <t xml:space="preserve">Actividades de promoción de los derechos y responsabilidades para la protección integral de los NNA en la escuela, la familia, las instituciones y los territorios </t>
  </si>
  <si>
    <t>Campaña para la promoción de los Derechos de la Mujer</t>
  </si>
  <si>
    <t>Campaña  para la promoción de los derechos de los Niños, Niñas y Adolescentes.</t>
  </si>
  <si>
    <t xml:space="preserve">Creación y conformación de la Red de líderes, lideresas y Organizaciones sociales como entornos protectores </t>
  </si>
  <si>
    <r>
      <rPr>
        <b/>
        <sz val="8"/>
        <color indexed="8"/>
        <rFont val="Arial"/>
        <family val="2"/>
      </rPr>
      <t xml:space="preserve">Personaton </t>
    </r>
    <r>
      <rPr>
        <sz val="8"/>
        <color indexed="8"/>
        <rFont val="Arial"/>
        <family val="2"/>
      </rPr>
      <t xml:space="preserve">
Estrategia de Movilizacion Ciudadana y articulacion Institucional que busca descentralizar los servicios misionales de la Personería de Medellin y de la Admon Mpal. Para las poblaciones más vulnerables de la Ciudad de Medellín. 
</t>
    </r>
  </si>
  <si>
    <r>
      <t xml:space="preserve">Concursos y campañas DDHH
</t>
    </r>
    <r>
      <rPr>
        <sz val="8"/>
        <color indexed="8"/>
        <rFont val="Arial"/>
        <family val="2"/>
      </rPr>
      <t xml:space="preserve">campañas y/o Apoyo a iniciativas de la sociedad civil que le apunten a nuestro quehacer misional y contribuyan a empoderar a,la ciudadanía como actores activos. 
</t>
    </r>
    <r>
      <rPr>
        <b/>
        <sz val="8"/>
        <color rgb="FFFF0000"/>
        <rFont val="Arial"/>
        <family val="2"/>
      </rPr>
      <t>SE INCLUYE INNOVACION SOCIAL CON ODS -</t>
    </r>
    <r>
      <rPr>
        <sz val="8"/>
        <color rgb="FFFF0000"/>
        <rFont val="Arial"/>
        <family val="2"/>
      </rPr>
      <t xml:space="preserve"> PNUD </t>
    </r>
  </si>
  <si>
    <r>
      <t xml:space="preserve">Vocerias activas: Nuevos  </t>
    </r>
    <r>
      <rPr>
        <sz val="8"/>
        <color indexed="8"/>
        <rFont val="Arial"/>
        <family val="2"/>
      </rPr>
      <t xml:space="preserve">líderes territoriales formados que de manera voluntaria   permanecen  en todo el proceso y multiplican la informacion Institucional de la Personería de Medellin. </t>
    </r>
    <r>
      <rPr>
        <sz val="8"/>
        <color theme="5"/>
        <rFont val="Arial"/>
        <family val="2"/>
      </rPr>
      <t xml:space="preserve">( actualmente 52 Conformados) </t>
    </r>
  </si>
  <si>
    <r>
      <rPr>
        <b/>
        <sz val="8"/>
        <color indexed="8"/>
        <rFont val="Arial"/>
        <family val="2"/>
      </rPr>
      <t xml:space="preserve"> VOZ A VOZ 
Estrategia de </t>
    </r>
    <r>
      <rPr>
        <sz val="8"/>
        <color indexed="8"/>
        <rFont val="Arial"/>
        <family val="2"/>
      </rPr>
      <t xml:space="preserve">Promoción Social  para la apropiacion ciudadana de La Personería de Medellín en sus 16 comunas y 5 corregimientos. 
</t>
    </r>
  </si>
  <si>
    <r>
      <rPr>
        <b/>
        <sz val="8"/>
        <rFont val="Arial"/>
        <family val="2"/>
      </rPr>
      <t>Micro videos informativos:</t>
    </r>
    <r>
      <rPr>
        <sz val="8"/>
        <rFont val="Arial"/>
        <family val="2"/>
      </rPr>
      <t xml:space="preserve"> transmisión del especial de TV de serie en Youtube (contiene toda la estrategia #LA PERSOCUMPLE, como material de cierre de la administracion para público interno y externo). </t>
    </r>
  </si>
  <si>
    <r>
      <rPr>
        <b/>
        <sz val="8"/>
        <rFont val="Arial"/>
        <family val="2"/>
      </rPr>
      <t>YOU TUBER</t>
    </r>
    <r>
      <rPr>
        <sz val="8"/>
        <rFont val="Arial"/>
        <family val="2"/>
      </rPr>
      <t xml:space="preserve">: Validador en Redes sociales </t>
    </r>
  </si>
  <si>
    <r>
      <rPr>
        <b/>
        <sz val="8"/>
        <rFont val="Arial"/>
        <family val="2"/>
      </rPr>
      <t xml:space="preserve">Plan de medios de comunicación </t>
    </r>
    <r>
      <rPr>
        <sz val="8"/>
        <rFont val="Arial"/>
        <family val="2"/>
      </rPr>
      <t>(pauta comercial)</t>
    </r>
  </si>
  <si>
    <r>
      <rPr>
        <b/>
        <sz val="8"/>
        <rFont val="Arial"/>
        <family val="2"/>
      </rPr>
      <t xml:space="preserve">Programa de Radio </t>
    </r>
    <r>
      <rPr>
        <sz val="8"/>
        <rFont val="Arial"/>
        <family val="2"/>
      </rPr>
      <t xml:space="preserve">-DONDE TODOS CONTAMOS- </t>
    </r>
  </si>
  <si>
    <r>
      <rPr>
        <b/>
        <sz val="8"/>
        <rFont val="Arial"/>
        <family val="2"/>
      </rPr>
      <t xml:space="preserve">revista- inserto: </t>
    </r>
    <r>
      <rPr>
        <sz val="8"/>
        <rFont val="Arial"/>
        <family val="2"/>
      </rPr>
      <t xml:space="preserve">(informe de gestión de cuatrienio)  9 de septiembre . Dia DDHH - distribuidos como inserto en 1 periódico local, bibliotecas , JAL, Universidades </t>
    </r>
    <r>
      <rPr>
        <b/>
        <i/>
        <sz val="8"/>
        <color indexed="10"/>
        <rFont val="Arial"/>
        <family val="2"/>
      </rPr>
      <t xml:space="preserve"> </t>
    </r>
  </si>
  <si>
    <r>
      <rPr>
        <b/>
        <sz val="8"/>
        <color indexed="8"/>
        <rFont val="Arial"/>
        <family val="2"/>
      </rPr>
      <t>Unificación de imagen y Diseño</t>
    </r>
    <r>
      <rPr>
        <sz val="8"/>
        <color indexed="8"/>
        <rFont val="Arial"/>
        <family val="2"/>
      </rPr>
      <t xml:space="preserve">- Suministro de impresos y material publicitario para la Personería de Medellín.    diseño de Plegables, Caratulas, Campañas internas, Tarjetas; Avisos publicitarios;para la entidad; Avisos internos, buzones, señaleticapara otras sedes, Dummi y Letrero luminoso para la UPDH </t>
    </r>
  </si>
  <si>
    <r>
      <rPr>
        <b/>
        <sz val="8"/>
        <rFont val="Arial"/>
        <family val="2"/>
      </rPr>
      <t>Dotación de imagen institucional :</t>
    </r>
    <r>
      <rPr>
        <sz val="8"/>
        <rFont val="Arial"/>
        <family val="2"/>
      </rPr>
      <t>camisas , camisetas polos. 8 chalecos personaton + 5 chalecos comunicaciones 30 CHALECOS UPDH.20 camisas para penal 15 Camisas para vigilancia, 500 gorras para Personeros estudiantiles y banderas</t>
    </r>
  </si>
  <si>
    <r>
      <t xml:space="preserve">
</t>
    </r>
    <r>
      <rPr>
        <b/>
        <sz val="8"/>
        <color indexed="8"/>
        <rFont val="Arial"/>
        <family val="2"/>
      </rPr>
      <t xml:space="preserve">EVENTOS Y CERTÁMENES: </t>
    </r>
    <r>
      <rPr>
        <sz val="8"/>
        <color indexed="8"/>
        <rFont val="Arial"/>
        <family val="2"/>
      </rPr>
      <t xml:space="preserve">
Diseño, producción y coordinacion de eventos institucionales de la Personería de Medellín que fortalezcan el posicionamiento y publicidad de la entidad. (se incluyen la solicitudes internas de las unidades y otros apoyos que decidan hacer a otros entes).   </t>
    </r>
  </si>
  <si>
    <r>
      <t>Eventos Externos:</t>
    </r>
    <r>
      <rPr>
        <sz val="8"/>
        <color indexed="8"/>
        <rFont val="Arial"/>
        <family val="2"/>
      </rPr>
      <t xml:space="preserve"> Acompañamiento y apoyo a eventos  o escenarios externos que promuevan y posicionen la imagen institucional de la Personería de Medellín  </t>
    </r>
  </si>
  <si>
    <r>
      <rPr>
        <b/>
        <sz val="8"/>
        <color indexed="8"/>
        <rFont val="Arial"/>
        <family val="2"/>
      </rPr>
      <t>Adquisición de equipos y mantenimiento:</t>
    </r>
    <r>
      <rPr>
        <sz val="8"/>
        <color indexed="8"/>
        <rFont val="Arial"/>
        <family val="2"/>
      </rPr>
      <t xml:space="preserve"> microfono, tripode, 10 extensiones microfono countryman con bateria recargable, tripo y manual para pequeños dispositivos, video beam  .  </t>
    </r>
  </si>
  <si>
    <t xml:space="preserve">Estructuración equipos de trabajo: </t>
  </si>
  <si>
    <t>1, sondeo estadìstico tutelas, solicitud de cumplimiento de fallo e incidentes de desacato en salud de la Personería de Medellín y de la rama judicial 2019</t>
  </si>
  <si>
    <t>3. Seguimiento y estudio sobre el Derecho Fundamental a la salud</t>
  </si>
  <si>
    <t>transcripción de audios</t>
  </si>
  <si>
    <t>Medellín sin Barreras en Salud -PPL-</t>
  </si>
  <si>
    <t>Acompañamiento a las Veedurías en Salud y copacos</t>
  </si>
  <si>
    <t>Visibilización del Observatorio del Derecho Fundamental a la Salud (Libro)</t>
  </si>
  <si>
    <t>Cátedra abierta de Seguridad Social en Salud, con el apoyo de la FNSP, MEDICINA y DERECHO de la UdeA</t>
  </si>
  <si>
    <t>Estructuración de equipo de trabajo</t>
  </si>
  <si>
    <t>Observatorio de Participación Ciudadana</t>
  </si>
  <si>
    <t xml:space="preserve">Reestructuración y continuidad de la Red de Participación Ciudadana. </t>
  </si>
  <si>
    <t>Encuentros comunitarios para la revisión, seguimiento y análisis  de los PDL, PDM,  DDHH y los ODS, mediante talleres de sensibilización con lideres de las 21 comunas y corregimientos de Medellín. (cabinas)</t>
  </si>
  <si>
    <t xml:space="preserve">Encuentros de sensiblización de 126 líderes investigadores comunitarios, sobre herramientas para el seguimiento y la gestión del PDL con enfoque de DDHH y ODS </t>
  </si>
  <si>
    <t>Sistematizaciòn de los procesos de planeaciòn local y presupuesto participativo</t>
  </si>
  <si>
    <t>Formulación de lìneas de investigación relacionadas con el observatorio (PLPP, participaciòn ciudadana, control social).</t>
  </si>
  <si>
    <t xml:space="preserve">Desarrollo y difusión de material pedagógico sobre Planes de Desarrollo Local con enfoque de Derechos Humanos y  ODS. </t>
  </si>
  <si>
    <t xml:space="preserve">Congreso:  el liderazgo que exige el siglo XXI y la responsabilidad de la  planeaciòn local.     Con participación lideres de organizaciones de fe, y otros  liderazgos sociales no convencionales. </t>
  </si>
  <si>
    <t xml:space="preserve">a. Experiencias socio-territoriales de desplazamiento poblacional en Medellín: Realidad, intervención y derechos
</t>
  </si>
  <si>
    <t xml:space="preserve">b.Procesos latentes y emergentes de desplazamiento de población: Riesgos socio-naturales, gestión y control
</t>
  </si>
  <si>
    <t xml:space="preserve">c.1 Libro: El desplazamiento socio-territorial del siglo XXI: Debates y Experiencias en Medellín-Colombia, una mirada desde el Ministerio Público </t>
  </si>
  <si>
    <t>a. Desarrollo de encuentro, mediante Seminario internacional sobre   sobre reasentamientos y movimientos de población.</t>
  </si>
  <si>
    <t>Observatorio de Sisitema Penal Carcelario</t>
  </si>
  <si>
    <t>Impresión del Directorio de Competencias Ambientale</t>
  </si>
  <si>
    <t>Actividades con diferentes grupos focales</t>
  </si>
  <si>
    <t>Festival de la familia multiespecie</t>
  </si>
  <si>
    <t>Auditoría al SGSST (Contrato)</t>
  </si>
  <si>
    <t xml:space="preserve">Revision e implementar de  indicadores de gestion por proceso </t>
  </si>
  <si>
    <t>Jornada toma de conciencia</t>
  </si>
  <si>
    <t>Auditoria de certificación inscripcion del ICONTEC ISO 9001 - 2015 (Auditoria de Procesos de misionales y centro de conciliaciones)</t>
  </si>
  <si>
    <r>
      <t xml:space="preserve">Sistema KAISEN </t>
    </r>
    <r>
      <rPr>
        <sz val="9"/>
        <color indexed="10"/>
        <rFont val="Arial"/>
        <family val="2"/>
      </rPr>
      <t>(Asesorias, buzones, habladores, MIPG y archivo; y eventos de calidad)</t>
    </r>
  </si>
  <si>
    <t>Renovación de licenciamiento de sistema de filtrado Fortigate 240D, por un (1) año</t>
  </si>
  <si>
    <t>Renovar licenciamiento del sistema de proteccion web Fortiweb</t>
  </si>
  <si>
    <t>Renovar software para  la realizacion del backup en cintas magneticas</t>
  </si>
  <si>
    <t>renovar Licencimiento convertidor de audio a texto</t>
  </si>
  <si>
    <t xml:space="preserve">Renovar Licencia de Adobe Illustrator CC por un año para windows </t>
  </si>
  <si>
    <t>Renovar Software para grabar audio y video, por un (1) año camtasia studio</t>
  </si>
  <si>
    <t>Video Beam de 3500 lumins</t>
  </si>
  <si>
    <t>Suministro de Teléfonos IP</t>
  </si>
  <si>
    <t xml:space="preserve">Disco Duro Para servidor HPE StoreEasy 1630 28TB SAS Storage (14 X 2TB 6G SAS 7.2K 3.5" MDL HDDs),2TB SAS hard drive - 7,200 RPM, 3.5-inch large form factor (LFF), 12 Gb/s interface, smart carrier (SC), Midline SAS - For use with Gen8/Gen9 or newer     819078-001  </t>
  </si>
  <si>
    <t xml:space="preserve">HP 1.2TB 2.5-inch SFF SAS 6Gb/s 10K RPM Dual Port (DP) Enterprise (ENT) Hot-Plug Hard Drive In HP 2.5-inch SFF SAS Hot-Plug Hard Drive tray (as pictured) For HP G1-G7 Proliant SFF SAS Servers and select Storage Arrays
Genuine HP serial number and firmware Genuine HP Hard Drive http://www.sillworks.com/product_info.php?manufacturers_id=11&amp;products_id=473284&amp;PHPSESSID=37vd3335mt8glietghta856ds0 </t>
  </si>
  <si>
    <t>HP 1.2TB 2.5-inch SFF SAS 6Gb/s 10K RPM
512n Enterprise (ENT) Hot-Plug Hard Drive
in G8 G9 (Gen8 Gen9) SFF SmartDrive Carrier (SC) (as pictured)
For HP G8 G9 Proliant SAS Servers and select Storage Arrays
Genuine HP serial number and firmware
Genuine HP Hard Drive http://www.harddrivesdirect.com/product_info.php?products_id=473280_EG1200FCVBQ</t>
  </si>
  <si>
    <t xml:space="preserve">Perifericos de entreda portables </t>
  </si>
  <si>
    <t>Scanner Kodak de alta resolucion escaneo de documentos en correspondencia.</t>
  </si>
  <si>
    <t>Escaner portatiles</t>
  </si>
  <si>
    <t>Cable De Red De Fibra R&amp;M 1 de un metro con aditamento de seguridad</t>
  </si>
  <si>
    <t>Cable de 2mt de Red Ethernet Cat6a</t>
  </si>
  <si>
    <t>patch panel de 48 puertos</t>
  </si>
  <si>
    <t>Adecuaciones</t>
  </si>
  <si>
    <t>Instalacion de puntos de red ( incluye cable UTP cat 6a, Face plate, jacks, certificacion) separados voz y datos</t>
  </si>
  <si>
    <t>Instalacion de puntos de energia  ( incluye, conexionado, cable, conectores y tomas) regulados y no regulados</t>
  </si>
  <si>
    <t>Mantenimiento preventivo de las camaras de seguridad y NVR ( incluye 21 camaras, 1 NVR, switchs de datos )</t>
  </si>
  <si>
    <t>Mantenimiento preventivo del sistema de control de acceso ( incluye depuracion de base de datos, 13 lectoras, Brazos hidraulicos, Electroimanes, Pulsadores )</t>
  </si>
  <si>
    <t>Mantenimiento aire acondicionado centro de datos se debe realizar uno mensual durante 11 meses</t>
  </si>
  <si>
    <t>Revisión, mantenimiento y cambios de baterias de la  UPS</t>
  </si>
  <si>
    <t xml:space="preserve">Administración sitio web </t>
  </si>
  <si>
    <t>Participar proactivamente con la comunidad difundiendo el quehacer constante del área de penal, velando por la protección de sus derechos (4 años)</t>
  </si>
  <si>
    <t>TOTALES  PENAL</t>
  </si>
  <si>
    <t xml:space="preserve">Estructuración de equipo de trabajo </t>
  </si>
  <si>
    <t xml:space="preserve">Participación en la mesa intersectorial para la atención y prevención de la ESCNNA y Participación en la Coalisión de la Investigación de la ESCNNA </t>
  </si>
  <si>
    <t>Liderar la lucha contra la corrupción en el municipio de Medellín Impactando en la reducción de la impunidad disciplinaria. (4 AÑOS)</t>
  </si>
  <si>
    <t xml:space="preserve">Estructurar una metodología de investigación para la Personería de Medellín </t>
  </si>
  <si>
    <t>TURISMO</t>
  </si>
  <si>
    <t>Personería del turismo</t>
  </si>
  <si>
    <t>Modulos de información con publicidad (Dumis) (6 puntos de información en: los aeropuestos, terminales,parques  y Comunas)</t>
  </si>
  <si>
    <t>Plan de Capacitacion Individual</t>
  </si>
  <si>
    <t>Plan de Capacitacion Grupal</t>
  </si>
  <si>
    <t>Capacitación en temas sindicales según acuerdo laboral</t>
  </si>
  <si>
    <t>Solicitud de parte</t>
  </si>
  <si>
    <t>Prevencion del riesgo psico-social y/o clima laboral</t>
  </si>
  <si>
    <t>Caminatas ecologicas</t>
  </si>
  <si>
    <t>Jornada navideña y bienvenida la navidad</t>
  </si>
  <si>
    <t xml:space="preserve">Programa de fortalecimiento para auditores </t>
  </si>
  <si>
    <t>Actividades socio -  culturales</t>
  </si>
  <si>
    <t>Examens medicos</t>
  </si>
  <si>
    <t>Jornada de seguridad y salud en el trabajo (abril)</t>
  </si>
  <si>
    <t xml:space="preserve">Dotación de SG - SST </t>
  </si>
  <si>
    <t xml:space="preserve">Campañas de salud  en SST y salud publica </t>
  </si>
  <si>
    <t>Diseño e implemetación del Plan Estratégico de Seguridad vial</t>
  </si>
  <si>
    <t>TOTALES DEL SG - SST</t>
  </si>
  <si>
    <t>Traslado de documentos para almacenamiento y custodia externa, mediante los correspondientes Inventarios Documentales</t>
  </si>
  <si>
    <t>Adquisiciòn de sillas ergonomica</t>
  </si>
  <si>
    <t>Compra de celulares</t>
  </si>
  <si>
    <t>Grecas</t>
  </si>
  <si>
    <t xml:space="preserve">Sillas Tanden </t>
  </si>
  <si>
    <t>Estructuracion de equipo de trabajo personeria auxiliar</t>
  </si>
  <si>
    <t>Estructuracion de equipo de conductores</t>
  </si>
  <si>
    <t>TOTALES DE OBSERVATORIOS</t>
  </si>
  <si>
    <t xml:space="preserve">Vigilancia        </t>
  </si>
  <si>
    <t>LOGISTICA</t>
  </si>
  <si>
    <t>IMPRESOS</t>
  </si>
  <si>
    <t>SOUVERNIR</t>
  </si>
  <si>
    <t>DOTACIÓN</t>
  </si>
  <si>
    <t>TOTAL</t>
  </si>
  <si>
    <t>VIDEOS</t>
  </si>
  <si>
    <t>Formación con enfoque de Género</t>
  </si>
  <si>
    <t>DIFERENCIA</t>
  </si>
  <si>
    <t>Adquisición de archivadores</t>
  </si>
  <si>
    <t>GASTO</t>
  </si>
  <si>
    <t>TRANSPORTE AEREO</t>
  </si>
  <si>
    <r>
      <rPr>
        <b/>
        <sz val="10"/>
        <rFont val="Arial"/>
        <family val="2"/>
      </rPr>
      <t xml:space="preserve">Plan de medios de comunicación </t>
    </r>
    <r>
      <rPr>
        <sz val="10"/>
        <rFont val="Arial"/>
        <family val="2"/>
      </rPr>
      <t>(pauta comercial)</t>
    </r>
  </si>
  <si>
    <r>
      <rPr>
        <b/>
        <sz val="10"/>
        <color indexed="8"/>
        <rFont val="Arial"/>
        <family val="2"/>
      </rPr>
      <t>Unificación de imagen y Diseño</t>
    </r>
    <r>
      <rPr>
        <sz val="10"/>
        <color indexed="8"/>
        <rFont val="Arial"/>
        <family val="2"/>
      </rPr>
      <t xml:space="preserve">- Suministro de impresos y material publicitario para la Personería de Medellín.    diseño de Plegables, Caratulas, Campañas internas, Tarjetas; Avisos publicitarios;para la entidad; Avisos internos, buzones, señaleticapara otras sedes, Dummi y Letrero luminoso para la UPDH </t>
    </r>
  </si>
  <si>
    <r>
      <t>Eventos Externos:</t>
    </r>
    <r>
      <rPr>
        <sz val="10"/>
        <color indexed="8"/>
        <rFont val="Arial"/>
        <family val="2"/>
      </rPr>
      <t xml:space="preserve"> Acompañamiento y apoyo a eventos  o escenarios externos que promuevan y posicionen la imagen institucional de la Personería de Medellín  </t>
    </r>
  </si>
  <si>
    <t>OTRO TIPO DE GASTO</t>
  </si>
  <si>
    <t>impresos de avisos para la sede, cintas reflectivas y cartillas para conductores, dotación de 20 chelecos para brigadistas, 5 sillas de rueda y descansa piess</t>
  </si>
  <si>
    <t>GPS y alcoholimetro</t>
  </si>
  <si>
    <t>Atención inicial integral a vicitmas del conflicto armado</t>
  </si>
  <si>
    <t>P1 - 001 - 2019</t>
  </si>
  <si>
    <t xml:space="preserve">P1 Programa 1: Observatorios </t>
  </si>
  <si>
    <t>P2 - 001 - 2019</t>
  </si>
  <si>
    <t>P2 Programa 2: Guarda y Promoción DDHH</t>
  </si>
  <si>
    <t>P3 - 001 - 2019</t>
  </si>
  <si>
    <t>P3 Programa 3: UVCO</t>
  </si>
  <si>
    <t>P4 - 001 - 2019</t>
  </si>
  <si>
    <t>P4 Programa 4: Protección del Interés Público</t>
  </si>
  <si>
    <t>P5 - 001 - 2019</t>
  </si>
  <si>
    <t>P5 Programa 5: Comunicaciones</t>
  </si>
  <si>
    <t>P6 - 001 - 2019</t>
  </si>
  <si>
    <t>P6 Programa 6: Personería auxiliar - Juridica</t>
  </si>
  <si>
    <t>P7 - 001 - 2019</t>
  </si>
  <si>
    <t>P7 Programa 7: Planificación - Sistemas</t>
  </si>
  <si>
    <t>P8 - 001 - 2019</t>
  </si>
  <si>
    <t>P8 Programa 8: Control Interno</t>
  </si>
  <si>
    <t>Obs. Salud</t>
  </si>
  <si>
    <t xml:space="preserve">Obs. Reasentamiento </t>
  </si>
  <si>
    <t>Obs. Participación Ciudadana</t>
  </si>
  <si>
    <t>Obs. Medio Ambiente</t>
  </si>
  <si>
    <t>Unidad de Victimas</t>
  </si>
  <si>
    <t>Vigilancia</t>
  </si>
  <si>
    <t>Conciliaciones</t>
  </si>
  <si>
    <t>Comunicaciones</t>
  </si>
  <si>
    <t>Personero Auxiliar</t>
  </si>
  <si>
    <t>Juridica</t>
  </si>
  <si>
    <t>Planeación</t>
  </si>
  <si>
    <t xml:space="preserve">Control Interno </t>
  </si>
  <si>
    <t>AREAS QUE INTERVIENEN EN EL PROYECTO</t>
  </si>
  <si>
    <t>PROYECTO</t>
  </si>
  <si>
    <t>RECURSOS ASIGNADOS POR ÁREAS</t>
  </si>
  <si>
    <t>TOTALES DE OBS. MEDIO AMBIENTE</t>
  </si>
  <si>
    <t>TOTALES TURISMO</t>
  </si>
  <si>
    <t>RECURSOS EJECUTADOS</t>
  </si>
  <si>
    <t xml:space="preserve">RECURSOS ASIGNADO PARA EL PROYECTO </t>
  </si>
  <si>
    <t>Obs. Carcelario y Penitenciario</t>
  </si>
  <si>
    <t>Estructuracion de equipo de apoyo para codigo de policia</t>
  </si>
  <si>
    <t>Logisitca</t>
  </si>
  <si>
    <t xml:space="preserve">valor del proyecto </t>
  </si>
  <si>
    <t>Proy. Auxi</t>
  </si>
  <si>
    <t xml:space="preserve">Campaña audivisual para los DDHH "Los rostros de la participación" </t>
  </si>
  <si>
    <t>Estructuracioon de equipo de trabajo</t>
  </si>
  <si>
    <t>**7/24</t>
  </si>
  <si>
    <t>Operador</t>
  </si>
  <si>
    <t xml:space="preserve">**Operador </t>
  </si>
  <si>
    <t xml:space="preserve">**Operador Logisitico </t>
  </si>
  <si>
    <t>Logistico</t>
  </si>
  <si>
    <t>RECURSOS  POR EJECUTAR</t>
  </si>
  <si>
    <t>TOTALES DE OBS. DE Sisitema Penal Carcelario</t>
  </si>
  <si>
    <t>TOTALES DE OBS. DE Medio Ambiente</t>
  </si>
  <si>
    <t xml:space="preserve">La Polilla </t>
  </si>
  <si>
    <t xml:space="preserve">** Consultor Ricardo Rios </t>
  </si>
  <si>
    <t>**Operación Logistica</t>
  </si>
  <si>
    <t>**Operador</t>
  </si>
  <si>
    <t xml:space="preserve">Se destinan $6,000,000 para logistica                                    Se destinan tiquetes $4.000.000                                                        </t>
  </si>
  <si>
    <t>Se destinaron $42,000,000 para logistica                                                                  Se destinan $8,000,000 para tiquetes aereos</t>
  </si>
  <si>
    <t xml:space="preserve">** Operador </t>
  </si>
  <si>
    <t xml:space="preserve">**Operador                                             **Impresos </t>
  </si>
  <si>
    <t xml:space="preserve">**Impresos </t>
  </si>
  <si>
    <t xml:space="preserve">** Impresos </t>
  </si>
  <si>
    <t xml:space="preserve">** Para sillas de ruedas                                                  **Impresos </t>
  </si>
  <si>
    <t xml:space="preserve">Colombia Compra </t>
  </si>
  <si>
    <t>**El Colombiano</t>
  </si>
  <si>
    <t xml:space="preserve">**Operador                                                   **Central de medios </t>
  </si>
  <si>
    <t>**Central de medios</t>
  </si>
  <si>
    <t xml:space="preserve">** central de medios </t>
  </si>
  <si>
    <t>**Operador                                             **Impresos                                                **central de medios</t>
  </si>
  <si>
    <t>**Operador                                             **Impresos                                    **central de medios</t>
  </si>
  <si>
    <t xml:space="preserve">** Central de Medios </t>
  </si>
  <si>
    <t>Imprimir manual de servicios públicos</t>
  </si>
  <si>
    <t>El contrato de Natalia Montoya se dio por terminado anticipadamente y solo se ejecuron recursos financieros por $11,253,981</t>
  </si>
  <si>
    <t>Elaboración de piezas publicitarias</t>
  </si>
  <si>
    <t xml:space="preserve">** Julid Marín                                                          **Juan David Marulanda                                    **Fabian Gonzalez                                                    ** Juan Carlos Naranjo                                  **Fabian Gonzalez                ** Juan David Marulanda                                              **Julied Marin                           **Juan Naranjo </t>
  </si>
  <si>
    <t>** Gustavo Cardona                                                                 **Guillermo Ortiz                                                                 ** Jaime Castañeda                                                           **Daniel Alexander Pulgarin                                             **Miguel Angel Aguirre                                             **Luis Oslaider Muñoz                           **Guillermo Ortiz                           **Miguel Angel Aguirre                                                             **Daniel Pulgarin                             **Guillermo Giraldo      **Jaime Castaño</t>
  </si>
  <si>
    <t>** Vivian del Valle                                                       **Alejandro de Castro                             **Viviana del Valle</t>
  </si>
  <si>
    <t xml:space="preserve">** Marleny Alvarez                                  **Cristian Lamir                                         **Santiago Ruiz                                                 **Cristian Constain                                       **Christian Lamir                               **Santiago Ruiz           **Cristian Constain                       **Marleny Alvarez </t>
  </si>
  <si>
    <t xml:space="preserve">.Andres Mosquera Contrato Coordinador                                           . Contrato de profesional                                                       . Contrato de profesional                                                          . Contrato de profesional                                                       . Contrato de profesional                                                 . Contrato de profesional                                 **Gabriel Restrepo                 **Hugo Tapias                                     **Ana Maria Ruiz                               **Angela Montoya                            **Andres Mosquera                              **Luz Marina Idarraga </t>
  </si>
  <si>
    <t xml:space="preserve">** Gabriel Escudero                                          **Juliana Tamayo                                          **Juliana Tamayo                                                      **Gabriel Escudero </t>
  </si>
  <si>
    <t>** Walter Florez                                                                     **Orfilia Usuga                                                             **Martha Ospina                                                           **Hugo Alberto Jaramillo                                **Alvaro MArtinez                                **Martha Ospina                      **Ofilia Elena Usuga                                                               **Alvaro Martinez                            **Walter Flores                               **Hugo Jaramillo</t>
  </si>
  <si>
    <t>**Fredy Andres Robledo                                                                       **Jorge Luis Arrieta                                             **Carlos Andres Guerra                                              **Fermin Vargas                                                    **Leida Patricia Quiceno                                                          **Eduar Eli Urrea                                                   **Cristian Camilo Hurtado                                                    **David Alberto Gaviria                                                    **Jorge Guzman                                              **Contratista nuevo                          **Carlos Andres Guerra                                                                   ** Cristian Camilo Hurtado                                            **David Gaviria                                      **Eduar Eli Urrea                                 **Freddy Robledo                      **Fermin Vargas                             **Jorge Guzman                                **Leida Quiceno</t>
  </si>
  <si>
    <t>** Adolfo Castañeda                                               **Olga Castaño                        **Olga Castaño                                  **Adolfo Castañeda</t>
  </si>
  <si>
    <t xml:space="preserve">** Luis Fernando Valderrama                                                                       **Lina Macias                                                                      **Tomas Mauricio Grisales                           **Gloria Gaviria                                             **Diana Mejia                                                       **Ana PAtricia Aristizabal                               **Ana Patricia Aristizabal                                  **Lina Macias                                              **Lina Bernal                                  **Leonardo Sanchez                              **Diana Mejia                                  **Luis Fernando Valderrama                                   **Gloria Gaviria </t>
  </si>
  <si>
    <t xml:space="preserve">**Juan David Herrera                                                      **Alejandro Guzman                                            **Angela Agudelo                                               **Angela Agudelo                        **Juana Zzapata                           **Alejandro Guzman </t>
  </si>
  <si>
    <t>Observatorio de Sisitema Penal y Carcelario</t>
  </si>
  <si>
    <t>**Diana Rico                                      **Lina Diosa                                                           **Silvya Cristina Zapata                                         **Diana Alexandra Gomez                                         **Sebastian Morales                         **Lina Doisa                             **Diana rico                          **Diana Alexandra Gómez                                        **Silvia Cristina Zapata</t>
  </si>
  <si>
    <t xml:space="preserve">** Santiago Hoyos                                             **Gildardo Orrego                                                      **Doris Muñoz                                      **Leonora Morales                                                **Beatriz Sierra                                                                      ** Sara Sanchez                                                           **Dolly Bedoya                                                        **Gloria Alvarez                                                **Juan Manuel Ayala                                                    **Maritza Lorena Uribe                                         **Juan Fernando Zuluaga Rojo                                                     **Carolina Suarez                            **Leonora Morales                              **Doris Muñoz                      **Sara Sanchez                       **Dolly Bedoya                        **Santiago Hoyos                                  **Carolina Suarez                                 **Maritza Uribe                             **Beatriz sierra                          **Gloria Alvarez                              **Gildardo Orrego            **Juan Fernando Zuluaga                                     **Juan Manuel Ayala                        **Stella Restrepo </t>
  </si>
  <si>
    <t>** Jeffry Miranda            **Diego Hoyos               **Hernan David Garcia                        **Luis Armando             **Carlos Mario Castañeda         **Diego Hoyos               **Jeffrey Miranda           **Hernan David Garcia                               **LuisArmando Uribe</t>
  </si>
  <si>
    <t xml:space="preserve">**Yolanda Retrepo                                                               **Martha Olano                                            **Asistente                                                 ***Yolanda Restrepo </t>
  </si>
  <si>
    <t xml:space="preserve">**Sebastrian Munera                              **Jorge Castañeda                                         **Catalina Morales                                                 **Liliana Marin                                      **Beatriz Bedoya                                              *Noelia Gallego                                              *Deisy Ospina                                                **Nelson Guzman                                     **Jenny Londoño                                                             **Beatriz angel                                                         **Juan Carlos Lopez                                                **Patricia Henao                                                     ** Dagobelto Canizal                                     **Maria Alexandra Ochoa                                     **Asistente de archivo                                 **Sebastian Munera                                             **Jorge Castañeda                      **Deisy Ospina                                **Noelia Gallego                         **Catalina Morales                                      **NelsonGuzman                            **Beatriz Bedoya                                                            **Juan Carlos Lopez                              **Beatriz Angel                                   **Patricia Henao                       **Alexandra Ochoa                                 **Yolima Agudelo                                    **Dagoberto Cañizales </t>
  </si>
  <si>
    <t>** Leonor Gaviria                                                             **Yuleny Renteria                                                    **Leon Felipe Alzate                                                **Anan Eloiza Gomez                                              **Seler Alvarez                                            **Jorge Angel                               **Leonor Gaviria                                                              **Leon Felipe Alzate                      **Ana Eloiza gomez</t>
  </si>
  <si>
    <t xml:space="preserve">** Claudia Pineda                                        **Katty Moreno                                           **Karol Andrea Cruz                                         **Manuela Gonzalez                           **Claudia Pineda                                 **Katty Moreno Cuervo                                   **Manuela Gonzalez                              **Karol Cruz                                                                            **yULENY rENTERIA </t>
  </si>
  <si>
    <t xml:space="preserve">** Johan Arenas  **Martha Sofia Ortega **Jeferson Correa                  **Elizabeth Garcia **Magnolia Arboleda              **Ferney Rendon **Natalia Velez    **David Gañan    **Natalia Velez    **Martha Sofia Ortega                   **Ferney Rendon                 **Elizabeth Garcia                   **Johan Arenas   **Jeferson Correa                   **Magnolia Arboleda                                      **David Gañan          </t>
  </si>
  <si>
    <t xml:space="preserve">**Carolina Gallego                                                                     **Juan David Yepes                                                    **Cesar Bedoya                                            **Yuli Andra Marín                                          **Pablo Ramirez                                        **Natalia Montoya Pereira                                              **Tatiana Sofia Ricardo Ricardo                                            **Ana Maria Valencia                                                                    ** se certifica el remplazo de Natalia Montoya                                               **Juan David Yepez                                **Carolina Gallego                            **Tatiana Sofia Ricardo                    **Pablo Ramirez                                    **Angela Maria Velasquez                              **Ana Maria Valencia                     **Cesar Bedoya                                                          **Alexandra asistente                      **Natalia Sierra  </t>
  </si>
  <si>
    <t>**Alejandro Palacio                                                   **Fabio Garcia              **Adriana Guevara                                **Sandra zuluaga                                                               **Uriel Garrido                                        **Cesar Rengifo              **Sandra Zuluaga                                  **Alejandro Palacio                                               **Paulina                                             **Uriel Garrido                               **Adriana Guevara                           **Fabio Garcia</t>
  </si>
  <si>
    <t>Totales</t>
  </si>
  <si>
    <t>Promover las estrategias formuladas desde el gobierno nacional en materia de prevención y sensibilizacio n de paz en el marco del post acuerdo</t>
  </si>
  <si>
    <t xml:space="preserve">Acciones encaminadas a lograr una justicia generadora de paz en el territorio, buscando el fortalecimineto de DDHH yacompañando el posacuerdo </t>
  </si>
  <si>
    <t xml:space="preserve">Estructuración de equipo casa de justicia </t>
  </si>
  <si>
    <t>Estructuración de equipos de trabajo mesa de víctimas</t>
  </si>
  <si>
    <t>Acompañamiento a protocolo de participación niños, niñas y adolescentes víctimas del conflicto armado (ICBF-Alcaldia de Medellín-Personería de Medellín- UARIV)</t>
  </si>
  <si>
    <t>Acompañar, formar, fortalecer  a las víctimas del conflicto armado en la ruta de Reparación Integral de las Víctimas</t>
  </si>
  <si>
    <t>capacitar a las organizaciones de víctimas en la política pública de atención a las víctimas del conflicto</t>
  </si>
  <si>
    <t>Estructuración de equipos de trabajo (Codigo de policia)</t>
  </si>
  <si>
    <t xml:space="preserve">Encuesta de perseccion ciudadana </t>
  </si>
  <si>
    <t xml:space="preserve">Rendicion de Cuentas - Honorable Concejo </t>
  </si>
  <si>
    <t xml:space="preserve">Souvenir </t>
  </si>
  <si>
    <r>
      <rPr>
        <b/>
        <sz val="9"/>
        <rFont val="Arial"/>
        <family val="2"/>
      </rPr>
      <t xml:space="preserve">Plan de medios de comunicación </t>
    </r>
    <r>
      <rPr>
        <sz val="9"/>
        <rFont val="Arial"/>
        <family val="2"/>
      </rPr>
      <t>(pauta comercial)</t>
    </r>
  </si>
  <si>
    <r>
      <rPr>
        <b/>
        <sz val="9"/>
        <rFont val="Arial"/>
        <family val="2"/>
      </rPr>
      <t xml:space="preserve">Programa de Radio  DIAROI- </t>
    </r>
    <r>
      <rPr>
        <sz val="9"/>
        <rFont val="Arial"/>
        <family val="2"/>
      </rPr>
      <t xml:space="preserve">DONDE TODOS CONTAMOS- </t>
    </r>
  </si>
  <si>
    <r>
      <rPr>
        <b/>
        <sz val="9"/>
        <rFont val="Arial"/>
        <family val="2"/>
      </rPr>
      <t xml:space="preserve">revista- inserto: Informe de gestion- </t>
    </r>
    <r>
      <rPr>
        <sz val="9"/>
        <rFont val="Arial"/>
        <family val="2"/>
      </rPr>
      <t xml:space="preserve">  9 de septiembre . Dia DDHH - distribuidos como inserto en 1 periódico local, bibliotecas , JAL, Universidades </t>
    </r>
    <r>
      <rPr>
        <b/>
        <i/>
        <sz val="9"/>
        <color indexed="10"/>
        <rFont val="Arial"/>
        <family val="2"/>
      </rPr>
      <t xml:space="preserve"> </t>
    </r>
  </si>
  <si>
    <r>
      <rPr>
        <b/>
        <sz val="9"/>
        <color indexed="8"/>
        <rFont val="Arial"/>
        <family val="2"/>
      </rPr>
      <t>Unificación de imagen y Diseño</t>
    </r>
    <r>
      <rPr>
        <sz val="9"/>
        <color indexed="8"/>
        <rFont val="Arial"/>
        <family val="2"/>
      </rPr>
      <t xml:space="preserve">- Suministro de impresos y material publicitario para la Personería de Medellín.    diseño de Plegables, Caratulas, Campañas internas, Tarjetas; Avisos publicitarios;para la entidad; Avisos internos, buzones, señaleticapara otras sedes, Dummi y Letrero luminoso para la UPDH </t>
    </r>
  </si>
  <si>
    <r>
      <t>Eventos Externos:</t>
    </r>
    <r>
      <rPr>
        <sz val="9"/>
        <color indexed="8"/>
        <rFont val="Arial"/>
        <family val="2"/>
      </rPr>
      <t xml:space="preserve"> Acompañamiento y apoyo a eventos  o escenarios externos que promuevan y posicionen la imagen institucional de la Personería de Medellín  </t>
    </r>
  </si>
  <si>
    <t>Verificación de la accesibilidad y oportunidad en la entrega de los medicamentos por las aseguradoras a través de las farmacias dispensadoras</t>
  </si>
  <si>
    <t>Verificación de la accesibilidad y oportundiad a los servicios de urgencias</t>
  </si>
  <si>
    <t>Recolección, análisis y seguimiento PQRS</t>
  </si>
  <si>
    <t xml:space="preserve">Apoyo a la estrategia Personaton </t>
  </si>
  <si>
    <t>Acompañamiento y apoyo a las ligas y alianzas de usuarios</t>
  </si>
  <si>
    <t>Orientación en salud a las victimas del conflicto armado en los CAV</t>
  </si>
  <si>
    <t>Acompañamiento mesas de salud (protección a misión médica y urgencias)</t>
  </si>
  <si>
    <t>Asistencia al Concejo (sesiones ordinarias o comisiones accidentales en salud)</t>
  </si>
  <si>
    <t xml:space="preserve">Encuentros para la socialización de avances e información relacionada con las investigaciones en DDHH y Observatorios; Círculos de calidad, comité primario </t>
  </si>
  <si>
    <t>Estructuración equipos de trabajo</t>
  </si>
  <si>
    <t>A solicitud de la personeria</t>
  </si>
  <si>
    <t>Creaciòn de la ruta de la  participaciòn en Medellìn</t>
  </si>
  <si>
    <t>Diseño material pedagogico atravès de gamificaciòn para generar una ciudadana activa y empoderada</t>
  </si>
  <si>
    <t xml:space="preserve"> Red de monitoreo desde los territorios locales</t>
  </si>
  <si>
    <t xml:space="preserve">Talleres pedagogicos  mecanismos de participación ciudadana </t>
  </si>
  <si>
    <t xml:space="preserve">Encuentros comunitarios para aportar a los Planes de Desarrollo que aporten al cumplimiento de los de DDHH y ODS. </t>
  </si>
  <si>
    <t>Investigaciòn de migraciòn venezolana</t>
  </si>
  <si>
    <t>Desarrollo  de material de difusiòn sobre participaciòn ciudadano, segunda ediciòn del Libro Participar es Vivir</t>
  </si>
  <si>
    <t>Coloquios con escritores (conversatorios sobre participaciòn en diferentes instituciones educativas)</t>
  </si>
  <si>
    <t>Concurso participar es vivir</t>
  </si>
  <si>
    <t>Presentaciòn de resultados de estrategias de participaciòn ciudadana</t>
  </si>
  <si>
    <t>Implementación y desarrollo de una ruta de usuario para  los casos de de reasentamiento y movimientos de población ocasionados por alto riesgo u obra pública.</t>
  </si>
  <si>
    <t>Diplomado Virtual en Control Urbanístico</t>
  </si>
  <si>
    <t>DESARROLLO DE ACTIVIDADES DEL CONVENIO MARCO AMBIENTAL</t>
  </si>
  <si>
    <t>IMPRESIÓN DEL DIRECTORIO DE COMPETENCIAS AMBIENTALES</t>
  </si>
  <si>
    <t>PROMOCIÓN DE LOS DERECHOS COLECTIVOS Y DEL AMBIENTE (Persoamiga)</t>
  </si>
  <si>
    <t>ACTIVIDADES CON DIFERENTES GRUPOS FOCALES</t>
  </si>
  <si>
    <t>FESTIVAL DE LA FAMILIA MULTIESPECIE Y EL HABITAT</t>
  </si>
  <si>
    <t>MESA VINCULO HUMANO ANIMAL</t>
  </si>
  <si>
    <t xml:space="preserve">Publicación de investigaciones realizadas </t>
  </si>
  <si>
    <t>Auditoría a la Gestiòn Financiera</t>
  </si>
  <si>
    <t>Equipo de apoyo externo para auditorias express</t>
  </si>
  <si>
    <t>Auditoria de certificación inscripcion del ICONTEC ISO 9001 - 2015 (Auditoria de Procesos de misionales y centro de conciliaciones) (Contrato)</t>
  </si>
  <si>
    <t>Circulos de calidad</t>
  </si>
  <si>
    <t>Reuniones estrategicas con lideres de procesos</t>
  </si>
  <si>
    <t>Asesorias, buzones, habladores, IPG y archivo; y eventos de calidad</t>
  </si>
  <si>
    <t>Reuniones de contrucción del PE 2020 - 2023</t>
  </si>
  <si>
    <t>estructuración equipos de trabajo</t>
  </si>
  <si>
    <t>Protección ante la fuga de datos y la mala gestión de recursos Saetica</t>
  </si>
  <si>
    <t>Renovar el switche de proteccion antispam FORTIMAIL, garantizando el traslado de la licencia al nuevo dispositivo. FortiMail-400FHardware plus 24x7 FortiCare and FortiGuard Base Bundle</t>
  </si>
  <si>
    <t>Renovar licenciamiento del sistema de proteccion web Fortiweb. FortiWeb-400D 1 Year Standard Bundle (24x7 FortiCare plus AV, FortiWeb Security Service, and IP Reputation)</t>
  </si>
  <si>
    <t>Adquirir sistema para a realizacion de backup en cintas magneticas backup, recuperación y administración de datos. Veritas Backup</t>
  </si>
  <si>
    <t>Renovar licenciamiento de TeamViewer Para equipos a la ulitma version que permita la realizacion de tres (3) sesiones simultaneas</t>
  </si>
  <si>
    <t>Renovación Licencia de Adobe Illustrator CC por un año para Mac: VIP Gobierno Illustrator CC for teams ALL Licencia Nueva CCT Multiple Platforms Multi Latin American Languages 12 Meses 1 Usuario Nivel 1 1 - 9</t>
  </si>
  <si>
    <t>Adquirir licencias de Office 365 E5 que incluya Microsoft Power BI Pro para análisis de datos</t>
  </si>
  <si>
    <t>Desarrollar o adquirir Sotware qur permita controlar de forma automatica la Rotación de turnos del personal de la UPDH</t>
  </si>
  <si>
    <t>Adquirir licencias de Office Standard 2019</t>
  </si>
  <si>
    <t>Adquirir Licencias de Windows server 2016 datacenter R2, y migracion del controlador del Dominio, WinSvrDCCore 2019 SNGL OLP 16Lic NL CoreLic Qlfd</t>
  </si>
  <si>
    <t>WinSvrCAL 2019 SNGL OLP NL UsrCAL</t>
  </si>
  <si>
    <t>Adquirir licenciamiento de Acrobat Pro DC</t>
  </si>
  <si>
    <t>Suministro de ordenadores personales tipo ALL IN ONE con disco duro solido</t>
  </si>
  <si>
    <t>Adquisicion de Unidad de energía ininterrumpible (UPS) trifásica para el centro de datos con un tiempo de 30 minutos, instalado de la red con alertas y administrable</t>
  </si>
  <si>
    <t>Fuente de alimentacion servidor HPE StoreEasy 1630 28TB SAS Storage (14 X 2TB 6G SAS 7.2K 3.5" MDL HDDs),2TB SAS hard drive - 7,200 RPM, 3.5-inch large form factor (LFF), 12 Gb/s interface, smart carrier (SC), Midline SAS - For use with Gen8/Gen9 or newer.</t>
  </si>
  <si>
    <t>Fuente de alimentacion para servidor HP dl 380p g8, HP Fuente Alim. DL350/360/380 G8 Fuente de alimentación 460W HP ProLiant DL350e G8, DL385p G8, DL380p G8, DL360p G8</t>
  </si>
  <si>
    <t>Fuente de alimentacion para servidor dl 580 G7 HP 1200W Common Slot Platinum Hot-Plug Power Supply Kit</t>
  </si>
  <si>
    <t>Transceiver ARISTA 1000BASE-SX SFP (Short Haul)</t>
  </si>
  <si>
    <t>Transceiver sfp 1GB tp-link</t>
  </si>
  <si>
    <t>Transceiver sfp 1GB Dell</t>
  </si>
  <si>
    <t>Transceiver sfp 1GB HP</t>
  </si>
  <si>
    <t>Patch cord 6a diametro reducido 1.5m panduit</t>
  </si>
  <si>
    <t>Patch cord 6a diametro reducido 2m panduit</t>
  </si>
  <si>
    <t>Servidor Lenovo ThinkSystem SR650Factor de Forma: Rack (2U)Procesador: 1 x Intel Xeon Silver 4116 12C 85W 2.1GH)Memoria: 16GB TruDDR4 2666 MHz (1Rx4 1.2V) RDIMMTarjeta de Red: 1 Tarjeta de 4 Puertos de 1GbEDiscos Duros: 480GB (2x240GB SSD Intel S4510) Controladora de Discos: RAID 930-16i 4GB Flash HDD/SSD: SATA/SASRaid: Niveles de Raid 0, 1, 10, 5, 50, 60 Cache de la tarjeta RAID 4GB Placa Conexión De Discos Duros: Hasta 24 discos de 2.5" SAS 12Gb Hot SwapUnidad Óptica: NO Incluida Unidad DVD/RW Fuente De Alimentación: 1 x 550W (230V/115V) Platinum Hot-Swap Power Supply Garantia: 3 Años 9x5NBD En Piezas En Mano De Obra El Siguiente Día Laborable Gestion Remota : Xclarity Controller Enterprise (Incluida)</t>
  </si>
  <si>
    <t>PORTATIL LENOVO THINKPAD L390 YOGAIntel, core i 5, DDR 4: 8 gb, OPTICO: no, windows 10 pro, PANTALLA: 13,3", TIEMPO DE GARANTIA: 3 años, COLOR: negro, DISCO DURO ESTADO SOLIDO: 256 gb, GENERACION: 8265u,</t>
  </si>
  <si>
    <t xml:space="preserve">Periféricos mouse </t>
  </si>
  <si>
    <t>Periféricos teclados</t>
  </si>
  <si>
    <t>docking station</t>
  </si>
  <si>
    <t>SWITCH CORE ARISTA 7020SR, 24x10GbE (SFP+) and 2 x 100GbE switch, configurable fans &amp; psu, 2xC13-C14 cords 1 YR A-Care Software &amp; NBD Hardware Replacement/Same Day Ship for 7020SR-24C2</t>
  </si>
  <si>
    <t>Patch Cord R&amp;M Cat.6A ISO, U/UTP, 4P, LSZH, gray, RJ45/u-RJ45/u, 2.0 m con aditamentos </t>
  </si>
  <si>
    <t>HP LTO-5 Ultrium 3000 SAS External Tape Drive </t>
  </si>
  <si>
    <t>Taslado oficina de informatica al Malacate incluido 8 puntos de voz y de datos, 8 puntos de energía regulado y 8 puntos de energía normal.</t>
  </si>
  <si>
    <t xml:space="preserve">Mantenimiento electrico preventivo y correctivo de cargas electricas para sedes de la Personeria </t>
  </si>
  <si>
    <t xml:space="preserve">Herramineto de mantenimiento </t>
  </si>
  <si>
    <t>Mantenimiento aire acondicionado centro de datos se debe realizar uno mensual</t>
  </si>
  <si>
    <t>Revisión, mantenimiento Unidad de energía ininterrumpible (UPS)</t>
  </si>
  <si>
    <t>Outsorcing de impresión por 12 meses papel incluido carta y folio con tipo de papel bond y opalina</t>
  </si>
  <si>
    <t>Observatorio del Turismo</t>
  </si>
  <si>
    <t>Socialización y sensibilización con entes de gobierno (nueva administración)</t>
  </si>
  <si>
    <t xml:space="preserve">Socialización y sensibilización sector hotelero y gastronómico </t>
  </si>
  <si>
    <t>Socialización y sensibilización guias turisticos y empresas de turismo</t>
  </si>
  <si>
    <t>Participar del evento ANATO 2020</t>
  </si>
  <si>
    <t>Seguimiento Convenio Marco de Cooperación “Pactos por los Derechos y Deberes del Turista en Medellín”</t>
  </si>
  <si>
    <t>Estructuracion de equipo de trabajo</t>
  </si>
  <si>
    <t>Reinducción</t>
  </si>
  <si>
    <t>Mejoramiento Continuo de Servidores Publicos para la asociación</t>
  </si>
  <si>
    <t>Entregas de escudos por reconocimientro de Labores</t>
  </si>
  <si>
    <t xml:space="preserve">Personerìa auxiliar </t>
  </si>
  <si>
    <t xml:space="preserve">Compra de  elementos oficina colombia compra bases , apoya pies  </t>
  </si>
  <si>
    <t>Jornada de seguridad y salud en el trabajo durante el  año 2020 Abril</t>
  </si>
  <si>
    <t xml:space="preserve">Plan estrategico de seguridad vial </t>
  </si>
  <si>
    <t xml:space="preserve">Capacitaciones  y Campañas de salud  en SST y salud publica en el año 2020  </t>
  </si>
  <si>
    <t>Contratar el servicio de almacenamiento externo en bodegas, para el acervo documental que se encuentra en el archivo central, y que se seguirá transfiriendo cada año por parte de los archivos de gestión.</t>
  </si>
  <si>
    <t>Servicio de correspondencia</t>
  </si>
  <si>
    <t>Suministros de los insumos de cafeteria y aseo y mantenimiento jardineria</t>
  </si>
  <si>
    <t>Mantenimiento de vehiculos</t>
  </si>
  <si>
    <t xml:space="preserve">Estructuracion de equipo de conductores </t>
  </si>
  <si>
    <t>Estructuraciòn SST</t>
  </si>
  <si>
    <t xml:space="preserve">Campaña: Tomas Ambientales Territorio Verde, Territorio de Convivencia, una Personería Ambiental. </t>
  </si>
  <si>
    <t>Semilleros de Perso-Escolares</t>
  </si>
  <si>
    <t xml:space="preserve">Publicaciónes La participación desde Gobierno Escolar </t>
  </si>
  <si>
    <t>Diplomado Derecho laboral y Sindical</t>
  </si>
  <si>
    <t>Diplomado en Contratacion Estatal</t>
  </si>
  <si>
    <t>Diplomado Derecho Constitucional</t>
  </si>
  <si>
    <t>Diplomado Derecho Electoral</t>
  </si>
  <si>
    <t>Diplomado Derechos Humanos - poblacion y Discapacidad</t>
  </si>
  <si>
    <t xml:space="preserve"> revisión de contenidos para la Creacion de la Biblioteca del Centro de Pensamiento y Estructuración y Publicación  revistas</t>
  </si>
  <si>
    <t>Formación con enfoque de Género y publicación</t>
  </si>
  <si>
    <t>Participación y seguimiento al Consejo de Seguridad Pública para las Mujeres del Municipio de Medellín</t>
  </si>
  <si>
    <t>Creación y conformación de la Red de líderes, lideresas y Organizaciones sociales como entornos protectores y veedurías ciudadanas de los comités técnicos.</t>
  </si>
  <si>
    <t>Publicacion y socializacion de material de control social y veeduría ciudadana</t>
  </si>
  <si>
    <t>Informe de Gestión de las Veedurías ciudadanas</t>
  </si>
  <si>
    <t xml:space="preserve">Jornadas  de control social </t>
  </si>
  <si>
    <t>Semilleros de Participación Ciudadana y Publicación</t>
  </si>
  <si>
    <t xml:space="preserve">Acciones constitucionales </t>
  </si>
  <si>
    <t xml:space="preserve">Cubrimiento sesiones del Concejo de Medellín (proyectos de acuerdo, comisiones accidentales, plenarias, comisiones permanentes..) y Guía Institucional de Servicios </t>
  </si>
  <si>
    <t>** Fabian Gonzalez                                                              **Juan David Marulamda                                                      **Juan Carlos Naranjo                                                      **Julied Marin</t>
  </si>
  <si>
    <t>**Lina Macias</t>
  </si>
  <si>
    <t xml:space="preserve">Plan Operativo Anual de Invesion - POAI </t>
  </si>
  <si>
    <t>**Marleny Alvarez                                           **Santiago Ruiz                              **Cristian Constain                    **Nohora Carolina</t>
  </si>
  <si>
    <t>**Sandra Zuluaga                              **Maria Paula Duque                          **Cesar Renguifo</t>
  </si>
  <si>
    <r>
      <rPr>
        <b/>
        <sz val="10"/>
        <color indexed="8"/>
        <rFont val="Arial"/>
        <family val="2"/>
      </rPr>
      <t xml:space="preserve">Personaton </t>
    </r>
    <r>
      <rPr>
        <sz val="10"/>
        <color indexed="8"/>
        <rFont val="Arial"/>
        <family val="2"/>
      </rPr>
      <t xml:space="preserve">
Actividad mensual de  de Movilizacion Ciudadana y articulacion Institucional que busca descentralizar los servicios misionales de la Personería de Medellin y de la Administración Municipal, dirigido a las poblaciones más vulnerables de la Ciudad de Medellín. 
</t>
    </r>
  </si>
  <si>
    <r>
      <t xml:space="preserve">Concurso InterUniversitasio  y campañas DDHH
</t>
    </r>
    <r>
      <rPr>
        <sz val="10"/>
        <color indexed="8"/>
        <rFont val="Arial"/>
        <family val="2"/>
      </rPr>
      <t xml:space="preserve">campañas que le apunten a nuestro quehacer misional y contribuyan a empoderar a,la ciudadanía como actores activos. 
- Concurso Interuniversitario de DDHH 
- Hablamed para tomar decisiones - ESTRATEGIA DE INNOVACION SOCIAL, que apunta a la construccion del plan de desarrollo de cara a los ODS solicitados por la ciudadania (ODS Obs. PP) 
</t>
    </r>
    <r>
      <rPr>
        <b/>
        <sz val="8"/>
        <color rgb="FFFF0000"/>
        <rFont val="Arial"/>
        <family val="2"/>
      </rPr>
      <t/>
    </r>
  </si>
  <si>
    <r>
      <t xml:space="preserve">Vocerias activas: Nuevos  </t>
    </r>
    <r>
      <rPr>
        <sz val="10"/>
        <color indexed="8"/>
        <rFont val="Arial"/>
        <family val="2"/>
      </rPr>
      <t xml:space="preserve">líderes territoriales formados que de manera voluntaria   permanecen  en todo el proceso y multiplican la informacion Institucional de la Personería de Medellin. </t>
    </r>
    <r>
      <rPr>
        <sz val="10"/>
        <color theme="5"/>
        <rFont val="Arial"/>
        <family val="2"/>
      </rPr>
      <t xml:space="preserve">(actualmente 77 Conformados) </t>
    </r>
  </si>
  <si>
    <r>
      <rPr>
        <b/>
        <sz val="10"/>
        <color indexed="8"/>
        <rFont val="Arial"/>
        <family val="2"/>
      </rPr>
      <t xml:space="preserve">VOZ A VOZ 
Estrategia de </t>
    </r>
    <r>
      <rPr>
        <sz val="10"/>
        <color indexed="8"/>
        <rFont val="Arial"/>
        <family val="2"/>
      </rPr>
      <t>Promoción Social  para la apropiacion ciudadana de La Personería de Medellín en sus 16 comunas y 5 corregimientos. Y equipo de trabajo</t>
    </r>
  </si>
  <si>
    <r>
      <rPr>
        <b/>
        <sz val="10"/>
        <rFont val="Arial"/>
        <family val="2"/>
      </rPr>
      <t xml:space="preserve">Programa de Radio  DIAROI- </t>
    </r>
    <r>
      <rPr>
        <sz val="10"/>
        <rFont val="Arial"/>
        <family val="2"/>
      </rPr>
      <t xml:space="preserve">DONDE TODOS CONTAMOS- </t>
    </r>
  </si>
  <si>
    <r>
      <rPr>
        <b/>
        <sz val="10"/>
        <rFont val="Arial"/>
        <family val="2"/>
      </rPr>
      <t xml:space="preserve">revista- inserto: Informe de gestion- </t>
    </r>
    <r>
      <rPr>
        <sz val="10"/>
        <rFont val="Arial"/>
        <family val="2"/>
      </rPr>
      <t xml:space="preserve">  9 de septiembre . Dia DDHH - distribuidos como inserto en 1 periódico local, bibliotecas , JAL, Universidades </t>
    </r>
    <r>
      <rPr>
        <b/>
        <i/>
        <sz val="10"/>
        <color indexed="10"/>
        <rFont val="Arial"/>
        <family val="2"/>
      </rPr>
      <t xml:space="preserve"> </t>
    </r>
  </si>
  <si>
    <t>TOTALES DE TURISMO</t>
  </si>
  <si>
    <t>Examenes Medicos</t>
  </si>
  <si>
    <t>Equipo de trabajo</t>
  </si>
  <si>
    <t>Actividad familiar</t>
  </si>
  <si>
    <t>POAI 2020</t>
  </si>
  <si>
    <t xml:space="preserve">**Leonor Gaviria                     **Juan Fernando Resteepo                                   **Diana Alexandra Gomez                                         **Jorge Guzman                          **Laura Alejandra Miranda                                      **Sebastian Upegui                            </t>
  </si>
  <si>
    <t>Informe de sondeo estadìstico tutelas, solicitud de cumplimiento de fallo e incidentes de desacato en salud de la Personería de Medellín y de la rama judicial 2019</t>
  </si>
  <si>
    <t>Informe Sondeo estadístico sobre el acceso al servicio de salud del Centro de Regulación de Urgencias y Emergencias Metrosalud, barreras identificadas</t>
  </si>
  <si>
    <t>Informe de Seguimiento y estudio sobre el Derecho Fundamental a la salud</t>
  </si>
  <si>
    <t>Mesas de trabajo Seguimiento y estudio sobre el Derecho Fundamental a la salud</t>
  </si>
  <si>
    <t>**Diana Rico                                                                        **Lina Diosa                                                                 **Silvya Cristina Zapata                                         **Hector Zapata                                                   **Nelson Bautista                                     **Hiovanny Mosquera</t>
  </si>
  <si>
    <t>**Yolanda Restrepo</t>
  </si>
  <si>
    <t>Servicio de Web Master</t>
  </si>
  <si>
    <t xml:space="preserve">**Hernan Garcia                                                               **Luis Armando Uribe                                                         **Diego Hoyos                                                                **Jeffry Miranda                     </t>
  </si>
  <si>
    <t>**Pablo Ramirez</t>
  </si>
  <si>
    <t>**Gabriel Escudero                              **Luis Perez</t>
  </si>
  <si>
    <t xml:space="preserve">**Natalia Restrepo                     **Alejandro del Castro                       </t>
  </si>
  <si>
    <t xml:space="preserve">**Daboberto Cañizal </t>
  </si>
  <si>
    <t xml:space="preserve">**Deisy Marloy Espinoza                                  **David Becerra                                                  **Manuela Gonzalez                        **Cristian Camilo Hurtado                                     **Juan Fernando Velez         **Maria Nelsi Lopez                    **Yuliana Villada                                    </t>
  </si>
  <si>
    <t>Compra de  elementos de Seguridad y salud en el trabajo</t>
  </si>
  <si>
    <t>Tapabocas y guantes</t>
  </si>
  <si>
    <t>**Olga Castaño                     ** Luis Alejandro</t>
  </si>
  <si>
    <t>Estructuración de equipos de trabajo de atención al Publico y Casa de Justicia</t>
  </si>
  <si>
    <t>Estructuración de equipos de trabajo - Estructuración de equipos de trabajo (Codigo de policia) - Estructuración de equipos de trabajo mesa de víctimas</t>
  </si>
  <si>
    <t>Estructuración equipos de trabajo comunicadores - Estrcutura ción de equipo de trabajo de voz a voz</t>
  </si>
  <si>
    <t xml:space="preserve">Encuesta de percepción ciudadana </t>
  </si>
  <si>
    <t>**Johan Arenas                                                                        **Juan David Yepes                                                                      **Natalia Sierra                                            **Cesar Bedoya                                  **Tatiana Ricardo                                    **Carolina Gallego                            **Angela Velasquez                        **Natalia Velez                                             **Elizabeth Garcia                             **Jeferson Correa                                                    **Magnolia Arboleda                             **David Gañan                                                      **Martha sofia Ortega          ** Reemplazo de Ana Maria                                      ** Diana Marcela Valencia                                    **Katerine Panesso</t>
  </si>
  <si>
    <t>**Ofilia Usuga                                          **Walter Folres                                               **Martha Ospina                           **Alvaro Martinez            **Mayines Patricia Figueroa                                      **Cesar Camilo Mesa Velez                                        **Jilmar Renteria</t>
  </si>
  <si>
    <t>** Sebastian Mehuin                                      **Elsa Yepes                                                           **Jorge Ivan Castaño                                                                                         **Catalina Morales                                                                           **Noelia Gallego                                      **Nelson Guzman                                                                           **Hernan Dario Granados                                               **Juan Carlos Lopez                                                                            **Beatriz Enidia Bedoya                                         **Claudia Andrea Pineda                               **Daniel Piegrahita                          **Daniela Gomez Ocampo                                           **Yisely Camacho                                               **Luz Xiomara Garrido                      **Alexandra Ochoa                          **Martin Palacio                                       **Jenny - Auxiliar temporal</t>
  </si>
  <si>
    <t>Queda con $40.000.0000     (Estaba en 80.000.000)</t>
  </si>
  <si>
    <t>Queda con $60.000.000 (Estaba en 100.000.000)</t>
  </si>
  <si>
    <t>Queda con $115.000.000 (Estaba en 100.000.000 …Se incremento para pauta digital)</t>
  </si>
  <si>
    <t>Se elimina, queda en 0 (Seelimana la actividad, estaba en 10.000.000)</t>
  </si>
  <si>
    <t>Queda con $25.000.000 (Estaba en 10.000.000)</t>
  </si>
  <si>
    <t>Se realizaran en forma virtual,  (contrato Colegio Mayor)</t>
  </si>
  <si>
    <t>Se realizaran en forma virtual, 
La idea es complementarlo con Conferencistas nacionales expertos en cada tema, de forma virtual
(contrato Colegio Mayor)</t>
  </si>
  <si>
    <t>En tiempos de crisis no hay problema con esta actividad.                                             (Contrato UPB)</t>
  </si>
  <si>
    <t>Se realiazarà en forma virtual a travès de facebook live o plataformas sociales que permiten la realizaciòn de eventos con interacciòn directa de la comunidad, se realizaran por zonas con los mejores escritores de Antioquia y se entregaran los libros a domicilio 
(Contrato UPB)</t>
  </si>
  <si>
    <t>INFORMATICA</t>
  </si>
  <si>
    <t>Informatica</t>
  </si>
  <si>
    <t>1 Contrato</t>
  </si>
  <si>
    <r>
      <rPr>
        <b/>
        <sz val="9"/>
        <color indexed="8"/>
        <rFont val="Arial"/>
        <family val="2"/>
      </rPr>
      <t xml:space="preserve">Personaton </t>
    </r>
    <r>
      <rPr>
        <sz val="9"/>
        <color indexed="8"/>
        <rFont val="Arial"/>
        <family val="2"/>
      </rPr>
      <t xml:space="preserve">
Actividad mensual de  de Movilizacion Ciudadana y articulacion Institucional que busca descentralizar los servicios misionales de la Personería de Medellin y de la Administración Municipal, dirigido a las poblaciones más vulnerables de la Ciudad de Medellín. 
</t>
    </r>
  </si>
  <si>
    <r>
      <t xml:space="preserve">Concurso InterUniversitasio  y campañas DDHH
</t>
    </r>
    <r>
      <rPr>
        <sz val="9"/>
        <color indexed="8"/>
        <rFont val="Arial"/>
        <family val="2"/>
      </rPr>
      <t xml:space="preserve">campañas que le apunten a nuestro quehacer misional y contribuyan a empoderar a,la ciudadanía como actores activos. 
- Concurso Interuniversitario de DDHH 
- Hablamed para tomar decisiones - ESTRATEGIA DE INNOVACION SOCIAL, que apunta a la construccion del plan de desarrollo de cara a los ODS solicitados por la ciudadania (ODS Obs. PP) 
</t>
    </r>
    <r>
      <rPr>
        <b/>
        <sz val="8"/>
        <color rgb="FFFF0000"/>
        <rFont val="Arial"/>
        <family val="2"/>
      </rPr>
      <t/>
    </r>
  </si>
  <si>
    <r>
      <t xml:space="preserve">Vocerias activas: Nuevos  </t>
    </r>
    <r>
      <rPr>
        <sz val="9"/>
        <color indexed="8"/>
        <rFont val="Arial"/>
        <family val="2"/>
      </rPr>
      <t xml:space="preserve">líderes territoriales formados que de manera voluntaria   permanecen  en todo el proceso y multiplican la informacion Institucional de la Personería de Medellin. </t>
    </r>
    <r>
      <rPr>
        <sz val="9"/>
        <color theme="5"/>
        <rFont val="Arial"/>
        <family val="2"/>
      </rPr>
      <t xml:space="preserve">(actualmente 77 Conformados) </t>
    </r>
  </si>
  <si>
    <r>
      <rPr>
        <b/>
        <sz val="9"/>
        <color indexed="8"/>
        <rFont val="Arial"/>
        <family val="2"/>
      </rPr>
      <t xml:space="preserve">VOZ A VOZ 
Estrategia de </t>
    </r>
    <r>
      <rPr>
        <sz val="9"/>
        <color indexed="8"/>
        <rFont val="Arial"/>
        <family val="2"/>
      </rPr>
      <t>Promoción Social  para la apropiacion ciudadana de La Personería de Medellín en sus 16 comunas y 5 corregimientos. Y equipo de trabajo</t>
    </r>
  </si>
  <si>
    <t>Tenia 22.000.000, quedan 5.000.000</t>
  </si>
  <si>
    <t>Se  tenia 2.000.000 queda 0</t>
  </si>
  <si>
    <t>Se tenia 9.500.000 queda en 0</t>
  </si>
  <si>
    <t xml:space="preserve">Se tenia 3.000.000 queda en 0 </t>
  </si>
  <si>
    <t xml:space="preserve">Se tenia 10.000.000 queda en 7.000.000 </t>
  </si>
  <si>
    <t xml:space="preserve">Se tenia 6.000.000 queda en 2.000.000 </t>
  </si>
  <si>
    <t>**Alenajdro Guzman                                             **Angelica Patricia Agudelo                                      **Juan Mauel Ayala                                 **Santiago Guardion          **Oscar Quiroz            **Wilber Aguiar                    **Gabriel Jaime Restrepo                                                           **Andres Mosquera                         **Daniela Gomez Arenas                                 **Alejandro Sanchez Hincapie                          **Ana Maria Ruiz                   **Felipe Palacios                   **Gloria Cecilia Gaviria                                                   **Francia Tobon                             **Betty Suarez                                                             **Patricia Cañola                       ** Coordinadora UPDH</t>
  </si>
  <si>
    <t>Se tenia 15.000.000 queda 0</t>
  </si>
  <si>
    <t>Se tenia 40.000.000 queda 0</t>
  </si>
  <si>
    <t>Se tenia 9.000.000 queda 4.000.000</t>
  </si>
  <si>
    <t>Se tenia 7.000.000 queda 0</t>
  </si>
  <si>
    <t>Se tenia 2.000.000 queda 0</t>
  </si>
  <si>
    <t>Se tenia 10.000.000 queda 0</t>
  </si>
  <si>
    <t>Se tenia 10.000.000 queda 5.000.000</t>
  </si>
  <si>
    <t>Se tenia 20.500.000 queda 10.000.000</t>
  </si>
  <si>
    <t>Se tenia 17.500.000 queda 10.000.000</t>
  </si>
  <si>
    <t>Se tenia 17.500.000 queda 0</t>
  </si>
  <si>
    <t>Se tenia 17.500.000 queda 10000000</t>
  </si>
  <si>
    <t>Se tenia 22.500.000 queda 10.000.000</t>
  </si>
  <si>
    <t>Revisión de contenidos para la Creacion de la Biblioteca del Centro de Pensamiento y Estructuración y Publicación  revistas</t>
  </si>
  <si>
    <t xml:space="preserve">Se tenia 1.000.000 queda </t>
  </si>
  <si>
    <t>Se tenia 54.000.000 queda  20.000.000</t>
  </si>
  <si>
    <t>Se tenia 8.000.000 queda 4.000.000</t>
  </si>
  <si>
    <t>Se tenia 7.000.000 queda 4.000.000</t>
  </si>
  <si>
    <t xml:space="preserve">Se tenia 15.000.000 queda 5.000.000 </t>
  </si>
  <si>
    <t xml:space="preserve">Se tenia 10.000.000 queda 5.000.000 </t>
  </si>
  <si>
    <t>Se tenia 17.000.000 queda 0</t>
  </si>
  <si>
    <t xml:space="preserve">Se tenia 12.000.000 queda 6.000.000 </t>
  </si>
  <si>
    <t>Queda con $10.000.000 (Estaba en 40.000.000)</t>
  </si>
  <si>
    <t>Tenia 40.000.000 queda 10.000.000</t>
  </si>
  <si>
    <t>Queda con $82.000.000 (Inicialmente estaba en 10.000.000….. Paso a 60.000.000 por el cambio de imagen y luego a 12.000.000 por el tema de chalecos)</t>
  </si>
  <si>
    <t>Red de monitoreo desde los territorios locales</t>
  </si>
  <si>
    <t>Se recibio una propuesta de parte de Arista Dev, expertos en gamificaciòn, estan listos los estudios previos, es una actividad muy importante porque son juegos digitales en los que se puede mostrar mucho la Personeria. Tenia 30.000.000 queda en 20.000.000</t>
  </si>
  <si>
    <t>Se viene desarrollando en forma virtual y asi se continuara, se cuenta con una asistencia de 80 a 90 persona por  cada sesiòn
Recursos en el contrato de logistica, para conferencista especializados en las diferentes tematicas, mesa de ayuda, certificados, servicio tècnico, etc. Tenia 20.000.000 queda en 10.000.000</t>
  </si>
  <si>
    <t>Estaba en 15.000.000 queda en 5.000.000</t>
  </si>
  <si>
    <t>Adquisición de vehiculo</t>
  </si>
  <si>
    <t>Actividad nueva 90.000.000</t>
  </si>
  <si>
    <t>Queda con 92.000.000 (Estaba en 22.000.000)</t>
  </si>
  <si>
    <r>
      <t xml:space="preserve">Adquisición de Hardware y Software para el funcionamiento de la Entidad por temas de la contigencia del Coronavirus - COVID 19:                                                                 </t>
    </r>
    <r>
      <rPr>
        <sz val="9"/>
        <rFont val="Arial"/>
        <family val="2"/>
      </rPr>
      <t>1</t>
    </r>
    <r>
      <rPr>
        <b/>
        <sz val="9"/>
        <rFont val="Arial"/>
        <family val="2"/>
      </rPr>
      <t xml:space="preserve">. </t>
    </r>
    <r>
      <rPr>
        <sz val="9"/>
        <rFont val="Arial"/>
        <family val="2"/>
      </rPr>
      <t>Renovación de licenciamiento de sistema de filtrado Fortigate 240D, por un (1) año. Cantidad 1</t>
    </r>
    <r>
      <rPr>
        <b/>
        <sz val="9"/>
        <rFont val="Arial"/>
        <family val="2"/>
      </rPr>
      <t xml:space="preserve">                                        </t>
    </r>
    <r>
      <rPr>
        <sz val="9"/>
        <rFont val="Arial"/>
        <family val="2"/>
      </rPr>
      <t>2</t>
    </r>
    <r>
      <rPr>
        <b/>
        <sz val="9"/>
        <rFont val="Arial"/>
        <family val="2"/>
      </rPr>
      <t xml:space="preserve">. </t>
    </r>
    <r>
      <rPr>
        <sz val="9"/>
        <rFont val="Arial"/>
        <family val="2"/>
      </rPr>
      <t>Renovar el switche de proteccion antispam FORTIMAIL, garantizando el traslado de la licencia al nuevo dispositivo. FortiMail-400FHardware plus 24x7 FortiCare and FortiGuard Base Bundle. Cantidad 1                                                                3. Renovar licenciamiento del sistema de proteccion web Fortiweb. FortiWeb-400D 1 Year Standard Bundle (24x7 FortiCare plus AV, FortiWeb Security Service, and IP Reputation). Cantidad 1                                                                                                                                     4. Suministro de ordenadores personales tipo ALL IN ONE con disco duro solido. Camtidad 15                                                               5. Suministro de ordenadores personales tipo portatil. Cantidad 15                                                                                6. Perifericos y/o monitores portatiles externos. Cantidad 3</t>
    </r>
  </si>
  <si>
    <t>Investigación para analizar "La situación de Derechos Humanos en el turismo en tiempos de Covid 19"</t>
  </si>
  <si>
    <t xml:space="preserve">**Luz Marina                  **Beatriz Sierra                                                 **Gloria alvarez                                                   **Ana Catalina Osorio                                                  **Gildardo Orrego                                 **Dolly Bedoya                                  **Diana Marcela Estrada              **Angela Montoya        **Romel Alexander Muños                      **Sara Sanchez                                                        **Edison Arcila                       ** Wilber Aguilar                  **Tracy Diaz                            </t>
  </si>
  <si>
    <t xml:space="preserve">**Periodico el colombiano                                     **EL Tiempo                     </t>
  </si>
  <si>
    <t>Estaba de las siguiente forma: 1. Socialización y sensibilización con entes de gobierno (nueva administración) con 2.000.000                                                                                                      2. Socialización y sensibilización sector hotelero y gastronómico con 3.000.000                                                                                  3. Socialización y sensibilización guias turisticos y empresas de turismo, con 4.000.000                                   4. Participar evento de turismo 2020 4.000.000</t>
  </si>
  <si>
    <t xml:space="preserve">** Cristian Lamir                              **Sandra Milena Aguiar Londoño                                        **Uriel Garrido                         **Tayla Silima Valdes                       **Luis Enrique Abadia                  </t>
  </si>
  <si>
    <t>Mantenimiento locativo</t>
  </si>
  <si>
    <t xml:space="preserve">Herramientas para informatica </t>
  </si>
  <si>
    <t>Investigaciòn HablameD</t>
  </si>
  <si>
    <r>
      <rPr>
        <b/>
        <sz val="9"/>
        <color rgb="FFFF0000"/>
        <rFont val="Calibri"/>
        <family val="2"/>
        <scheme val="minor"/>
      </rPr>
      <t xml:space="preserve">Se requiere cambiar la tematica de la investigaciòn, </t>
    </r>
    <r>
      <rPr>
        <b/>
        <sz val="9"/>
        <color theme="1"/>
        <rFont val="Calibri"/>
        <family val="2"/>
        <scheme val="minor"/>
      </rPr>
      <t xml:space="preserve">que ya se esta realizando con el Colegio Mayor de forma virtual, </t>
    </r>
    <r>
      <rPr>
        <b/>
        <sz val="9"/>
        <rFont val="Calibri"/>
        <family val="2"/>
        <scheme val="minor"/>
      </rPr>
      <t xml:space="preserve">para las alertas planteadas por el Personero 
(Contrato logistica para la investigacion: Fichas bibliograficas, servicio tècnico) Tenia 10.000.000 queda en 2,000,000 y se cambia el nombre de la actividad </t>
    </r>
  </si>
  <si>
    <t>Diplomado de Derecho Disciplinario</t>
  </si>
  <si>
    <t>Diplomado de Derecho Público</t>
  </si>
  <si>
    <t>Diplomado en aplicación del código de policia y del código penal en el cuidado del medio ambiente y los seres sintientes</t>
  </si>
  <si>
    <t>Se tiene disponible</t>
  </si>
  <si>
    <t>Proyección 135 dias</t>
  </si>
  <si>
    <t>Proyección 150 dias</t>
  </si>
  <si>
    <t>Se necesita para 180 dias</t>
  </si>
  <si>
    <t>Proyección 165 dias</t>
  </si>
  <si>
    <t xml:space="preserve">Elementos de proteccion para la contingencia Covid - 19 </t>
  </si>
  <si>
    <t>PP X EJECUTAR</t>
  </si>
  <si>
    <t xml:space="preserve">**Gustavo Cardona                                                                      **Damiel Stiven Gomez                                   **Guillermo Giraldo                        **Guillermo Ortiz                          **Luis Osneider Muñoz                            **Daniel Pulgarín                           **Adrian Dario Gomez                   **Luis alvaro Guzman        **Juan Quinto                                    ** Jorge Alexander Palacios                                     **Juan Carlos Castaño                             **Reemplazo Claudia </t>
  </si>
  <si>
    <t xml:space="preserve">**Freddy Robledo                              **David Alberto Gaviria                    **Jilmar Renteria                                **Jorge Arrieta                              **Leon Felipe Alzate                      **Katty Moreno                        **Fermin Vargas                       **Paola andrea Lopez                              **Fernando Reales                                  **Yancy Cardona                            **Reemplazo de Jilmer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</si>
</sst>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 #,##0_-;\-&quot;$&quot;\ * #,##0_-;_-&quot;$&quot;\ * &quot;-&quot;_-;_-@_-"/>
    <numFmt numFmtId="164" formatCode="_-* #,##0.00\ &quot;€&quot;_-;\-* #,##0.00\ &quot;€&quot;_-;_-* &quot;-&quot;??\ &quot;€&quot;_-;_-@_-"/>
    <numFmt numFmtId="165" formatCode="[$$-240A]\ #,##0"/>
    <numFmt numFmtId="166" formatCode="_-[$$-240A]\ * #,##0_-;\-[$$-240A]\ * #,##0_-;_-[$$-240A]\ * &quot;-&quot;_-;_-@_-"/>
    <numFmt numFmtId="167" formatCode="\$#,##0;[Red]&quot;-$&quot;#,##0"/>
    <numFmt numFmtId="168" formatCode="_-&quot;$&quot;* #,##0_-;\-&quot;$&quot;* #,##0_-;_-&quot;$&quot;* &quot;-&quot;??_-;_-@_-"/>
    <numFmt numFmtId="169" formatCode="_-[$$-240A]* #,##0_-;\-[$$-240A]* #,##0_-;_-[$$-240A]* &quot;-&quot;_-;_-@"/>
    <numFmt numFmtId="170" formatCode="&quot;$&quot;#,##0;[Red]\-&quot;$&quot;#,##0"/>
    <numFmt numFmtId="171" formatCode="&quot;$&quot;\ #,##0"/>
    <numFmt numFmtId="172" formatCode="&quot;$&quot;#,##0"/>
    <numFmt numFmtId="173" formatCode="_-[$$-80A]* #,##0_-;\-[$$-80A]* #,##0_-;_-[$$-80A]* &quot;-&quot;??_-;_-@_-"/>
    <numFmt numFmtId="174" formatCode="_-[$$-240A]\ * #,##0_-;\-[$$-240A]\ * #,##0_-;_-[$$-240A]\ * &quot;-&quot;??_-;_-@_-"/>
    <numFmt numFmtId="175" formatCode="_-[$$-240A]\ * #,##0_ ;_-[$$-240A]\ * \-#,##0\ ;_-[$$-240A]\ * &quot;-&quot;_ ;_-@_ "/>
    <numFmt numFmtId="176" formatCode="#,##0;#,##0"/>
  </numFmts>
  <fonts count="50"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b/>
      <sz val="9"/>
      <name val="Arial"/>
      <family val="2"/>
    </font>
    <font>
      <sz val="9"/>
      <name val="Arial"/>
      <family val="2"/>
    </font>
    <font>
      <sz val="9"/>
      <color indexed="8"/>
      <name val="Arial"/>
      <family val="2"/>
    </font>
    <font>
      <sz val="10"/>
      <color theme="1"/>
      <name val="Arial"/>
      <family val="2"/>
    </font>
    <font>
      <sz val="10"/>
      <color indexed="8"/>
      <name val="Arial"/>
      <family val="2"/>
    </font>
    <font>
      <sz val="11"/>
      <color theme="1"/>
      <name val="Arial"/>
      <family val="2"/>
    </font>
    <font>
      <sz val="8"/>
      <color rgb="FF000000"/>
      <name val="Arial"/>
      <family val="2"/>
    </font>
    <font>
      <sz val="8"/>
      <name val="Arial"/>
      <family val="2"/>
    </font>
    <font>
      <sz val="8"/>
      <color indexed="8"/>
      <name val="Arial"/>
      <family val="2"/>
    </font>
    <font>
      <b/>
      <sz val="8"/>
      <color indexed="8"/>
      <name val="Arial"/>
      <family val="2"/>
    </font>
    <font>
      <b/>
      <sz val="8"/>
      <color rgb="FFFF0000"/>
      <name val="Arial"/>
      <family val="2"/>
    </font>
    <font>
      <sz val="8"/>
      <color rgb="FFFF0000"/>
      <name val="Arial"/>
      <family val="2"/>
    </font>
    <font>
      <sz val="8"/>
      <color theme="5"/>
      <name val="Arial"/>
      <family val="2"/>
    </font>
    <font>
      <b/>
      <sz val="8"/>
      <name val="Arial"/>
      <family val="2"/>
    </font>
    <font>
      <b/>
      <i/>
      <sz val="8"/>
      <color indexed="10"/>
      <name val="Arial"/>
      <family val="2"/>
    </font>
    <font>
      <sz val="9"/>
      <color theme="1"/>
      <name val="Calibri"/>
      <family val="2"/>
      <scheme val="minor"/>
    </font>
    <font>
      <sz val="10"/>
      <color rgb="FF000000"/>
      <name val="Arial"/>
      <family val="2"/>
    </font>
    <font>
      <sz val="11"/>
      <name val="Arial"/>
      <family val="2"/>
    </font>
    <font>
      <sz val="9"/>
      <color indexed="10"/>
      <name val="Arial"/>
      <family val="2"/>
    </font>
    <font>
      <sz val="10"/>
      <color theme="1"/>
      <name val="Calibri"/>
      <family val="2"/>
      <scheme val="minor"/>
    </font>
    <font>
      <sz val="10"/>
      <color rgb="FF000000"/>
      <name val="Calibri"/>
      <family val="2"/>
      <scheme val="minor"/>
    </font>
    <font>
      <sz val="8"/>
      <color theme="1"/>
      <name val="Arial"/>
      <family val="2"/>
    </font>
    <font>
      <b/>
      <sz val="10"/>
      <color indexed="8"/>
      <name val="Arial"/>
      <family val="2"/>
    </font>
    <font>
      <sz val="10"/>
      <color theme="5"/>
      <name val="Arial"/>
      <family val="2"/>
    </font>
    <font>
      <b/>
      <i/>
      <sz val="10"/>
      <color indexed="10"/>
      <name val="Arial"/>
      <family val="2"/>
    </font>
    <font>
      <b/>
      <sz val="20"/>
      <name val="Arial"/>
      <family val="2"/>
    </font>
    <font>
      <b/>
      <sz val="12"/>
      <name val="Arial"/>
      <family val="2"/>
    </font>
    <font>
      <b/>
      <sz val="11"/>
      <name val="Arial"/>
      <family val="2"/>
    </font>
    <font>
      <sz val="11"/>
      <color rgb="FF000000"/>
      <name val="Arial"/>
      <family val="2"/>
    </font>
    <font>
      <sz val="11"/>
      <color indexed="8"/>
      <name val="Arial"/>
      <family val="2"/>
    </font>
    <font>
      <b/>
      <i/>
      <sz val="9"/>
      <color indexed="10"/>
      <name val="Arial"/>
      <family val="2"/>
    </font>
    <font>
      <b/>
      <sz val="9"/>
      <color indexed="8"/>
      <name val="Arial"/>
      <family val="2"/>
    </font>
    <font>
      <sz val="12"/>
      <name val="Arial"/>
      <family val="2"/>
    </font>
    <font>
      <b/>
      <sz val="9"/>
      <color indexed="81"/>
      <name val="Tahoma"/>
      <family val="2"/>
    </font>
    <font>
      <sz val="9"/>
      <color indexed="81"/>
      <name val="Tahoma"/>
      <family val="2"/>
    </font>
    <font>
      <sz val="9"/>
      <color theme="1"/>
      <name val="Arial"/>
      <family val="2"/>
    </font>
    <font>
      <sz val="14"/>
      <name val="Arial"/>
      <family val="2"/>
    </font>
    <font>
      <sz val="14"/>
      <color theme="1"/>
      <name val="Calibri"/>
      <family val="2"/>
      <scheme val="minor"/>
    </font>
    <font>
      <sz val="9"/>
      <color theme="5"/>
      <name val="Arial"/>
      <family val="2"/>
    </font>
    <font>
      <sz val="9"/>
      <color rgb="FF000000"/>
      <name val="Arial"/>
      <family val="2"/>
    </font>
    <font>
      <b/>
      <sz val="9"/>
      <color theme="1"/>
      <name val="Calibri"/>
      <family val="2"/>
      <scheme val="minor"/>
    </font>
    <font>
      <b/>
      <sz val="9"/>
      <color rgb="FFFF0000"/>
      <name val="Calibri"/>
      <family val="2"/>
      <scheme val="minor"/>
    </font>
    <font>
      <b/>
      <sz val="9"/>
      <name val="Calibri"/>
      <family val="2"/>
      <scheme val="minor"/>
    </font>
    <font>
      <b/>
      <sz val="9"/>
      <color theme="1"/>
      <name val="Arial"/>
      <family val="2"/>
    </font>
    <font>
      <sz val="9"/>
      <color rgb="FF000000"/>
      <name val="Calibri"/>
      <family val="2"/>
      <scheme val="minor"/>
    </font>
  </fonts>
  <fills count="24">
    <fill>
      <patternFill patternType="none"/>
    </fill>
    <fill>
      <patternFill patternType="gray125"/>
    </fill>
    <fill>
      <patternFill patternType="solid">
        <fgColor rgb="FF808080"/>
        <bgColor rgb="FF969696"/>
      </patternFill>
    </fill>
    <fill>
      <patternFill patternType="solid">
        <fgColor rgb="FF969696"/>
        <bgColor rgb="FF808080"/>
      </patternFill>
    </fill>
    <fill>
      <patternFill patternType="solid">
        <fgColor rgb="FFC0C0C0"/>
        <bgColor rgb="FFCCCCFF"/>
      </patternFill>
    </fill>
    <fill>
      <patternFill patternType="solid">
        <fgColor theme="0"/>
        <bgColor indexed="64"/>
      </patternFill>
    </fill>
    <fill>
      <patternFill patternType="solid">
        <fgColor rgb="FFFFFFFF"/>
        <bgColor rgb="FFFFFFCC"/>
      </patternFill>
    </fill>
    <fill>
      <patternFill patternType="solid">
        <fgColor theme="0" tint="-0.249977111117893"/>
        <bgColor indexed="64"/>
      </patternFill>
    </fill>
    <fill>
      <patternFill patternType="solid">
        <fgColor theme="0" tint="-0.499984740745262"/>
        <bgColor rgb="FFCCCCFF"/>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1" tint="0.499984740745262"/>
        <bgColor indexed="64"/>
      </patternFill>
    </fill>
    <fill>
      <patternFill patternType="solid">
        <fgColor theme="0"/>
        <bgColor rgb="FFCCCCFF"/>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rgb="FFCCCCFF"/>
      </patternFill>
    </fill>
    <fill>
      <patternFill patternType="solid">
        <fgColor theme="0"/>
        <bgColor rgb="FFFFFF00"/>
      </patternFill>
    </fill>
    <fill>
      <patternFill patternType="solid">
        <fgColor theme="0"/>
        <bgColor rgb="FFD8D8D8"/>
      </patternFill>
    </fill>
    <fill>
      <patternFill patternType="solid">
        <fgColor theme="0"/>
        <bgColor rgb="FFFFFFCC"/>
      </patternFill>
    </fill>
    <fill>
      <patternFill patternType="solid">
        <fgColor theme="0" tint="-0.34998626667073579"/>
        <bgColor rgb="FF808080"/>
      </patternFill>
    </fill>
    <fill>
      <patternFill patternType="solid">
        <fgColor rgb="FFFFFFFF"/>
        <bgColor indexed="64"/>
      </patternFill>
    </fill>
    <fill>
      <patternFill patternType="solid">
        <fgColor rgb="FF92D050"/>
        <bgColor indexed="64"/>
      </patternFill>
    </fill>
    <fill>
      <patternFill patternType="solid">
        <fgColor theme="0"/>
        <bgColor rgb="FFFFFFFF"/>
      </patternFill>
    </fill>
  </fills>
  <borders count="56">
    <border>
      <left/>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style="thin">
        <color auto="1"/>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bottom/>
      <diagonal/>
    </border>
    <border>
      <left style="thin">
        <color auto="1"/>
      </left>
      <right style="medium">
        <color indexed="64"/>
      </right>
      <top/>
      <bottom/>
      <diagonal/>
    </border>
    <border>
      <left style="thin">
        <color indexed="64"/>
      </left>
      <right/>
      <top style="medium">
        <color indexed="64"/>
      </top>
      <bottom/>
      <diagonal/>
    </border>
    <border>
      <left style="thin">
        <color auto="1"/>
      </left>
      <right/>
      <top style="thin">
        <color auto="1"/>
      </top>
      <bottom style="medium">
        <color indexed="64"/>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right style="thin">
        <color rgb="FF000000"/>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2"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cellStyleXfs>
  <cellXfs count="992">
    <xf numFmtId="0" fontId="0" fillId="0" borderId="0" xfId="0"/>
    <xf numFmtId="0" fontId="3" fillId="0" borderId="0" xfId="0" applyFont="1"/>
    <xf numFmtId="0" fontId="2" fillId="4" borderId="1" xfId="0" applyFont="1" applyFill="1" applyBorder="1" applyAlignment="1"/>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3" fillId="5" borderId="2" xfId="0" applyFont="1" applyFill="1" applyBorder="1" applyAlignment="1">
      <alignment horizontal="left" vertical="center" wrapText="1"/>
    </xf>
    <xf numFmtId="0" fontId="3" fillId="0" borderId="2" xfId="0" applyFont="1" applyBorder="1" applyAlignment="1">
      <alignment horizontal="center" vertical="center" wrapText="1"/>
    </xf>
    <xf numFmtId="165" fontId="3" fillId="0" borderId="2" xfId="1" applyNumberFormat="1" applyFont="1" applyFill="1" applyBorder="1" applyAlignment="1">
      <alignment horizontal="right" vertical="center" wrapText="1"/>
    </xf>
    <xf numFmtId="166" fontId="3" fillId="0" borderId="2" xfId="1" applyNumberFormat="1" applyFont="1" applyBorder="1" applyAlignment="1" applyProtection="1">
      <alignment vertical="center"/>
    </xf>
    <xf numFmtId="9" fontId="3" fillId="0" borderId="2" xfId="2" applyFont="1" applyBorder="1" applyAlignment="1" applyProtection="1">
      <alignment horizontal="center" vertical="center"/>
    </xf>
    <xf numFmtId="0" fontId="2"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horizontal="left" vertical="center" wrapText="1"/>
    </xf>
    <xf numFmtId="165" fontId="3" fillId="0" borderId="2" xfId="1" applyNumberFormat="1" applyFont="1" applyBorder="1" applyAlignment="1" applyProtection="1">
      <alignment horizontal="right" vertical="center"/>
    </xf>
    <xf numFmtId="165" fontId="2" fillId="2" borderId="2" xfId="1" applyNumberFormat="1" applyFont="1" applyFill="1" applyBorder="1" applyAlignment="1" applyProtection="1">
      <alignment horizontal="right" vertical="center"/>
    </xf>
    <xf numFmtId="166" fontId="2" fillId="2" borderId="2" xfId="1" applyNumberFormat="1" applyFont="1" applyFill="1" applyBorder="1" applyAlignment="1" applyProtection="1">
      <alignment horizontal="right" vertical="center"/>
    </xf>
    <xf numFmtId="9" fontId="3" fillId="2" borderId="2" xfId="2" applyFont="1" applyFill="1" applyBorder="1" applyAlignment="1" applyProtection="1">
      <alignment horizontal="center" vertical="center"/>
    </xf>
    <xf numFmtId="0"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4" borderId="1" xfId="0" applyFont="1" applyFill="1" applyBorder="1" applyAlignment="1">
      <alignment vertical="center"/>
    </xf>
    <xf numFmtId="0" fontId="3" fillId="5" borderId="4" xfId="0" applyFont="1" applyFill="1" applyBorder="1" applyAlignment="1">
      <alignment horizontal="left" vertical="center" wrapText="1"/>
    </xf>
    <xf numFmtId="165" fontId="3" fillId="5" borderId="2" xfId="1" applyNumberFormat="1" applyFont="1" applyFill="1" applyBorder="1" applyAlignment="1">
      <alignment horizontal="right" vertical="center" wrapText="1"/>
    </xf>
    <xf numFmtId="0" fontId="2" fillId="5" borderId="2" xfId="0" applyNumberFormat="1" applyFont="1" applyFill="1" applyBorder="1" applyAlignment="1">
      <alignment vertical="center" wrapText="1"/>
    </xf>
    <xf numFmtId="0" fontId="3" fillId="0" borderId="0" xfId="0" applyFont="1" applyAlignment="1">
      <alignment vertical="center" wrapText="1"/>
    </xf>
    <xf numFmtId="165" fontId="3" fillId="0" borderId="0" xfId="0" applyNumberFormat="1" applyFont="1"/>
    <xf numFmtId="0" fontId="3" fillId="5" borderId="0" xfId="0" applyFont="1" applyFill="1"/>
    <xf numFmtId="166" fontId="3" fillId="5" borderId="2" xfId="1" applyNumberFormat="1" applyFont="1" applyFill="1" applyBorder="1" applyAlignment="1" applyProtection="1">
      <alignment vertical="center"/>
    </xf>
    <xf numFmtId="9" fontId="3" fillId="5" borderId="2" xfId="2" applyFont="1" applyFill="1" applyBorder="1" applyAlignment="1" applyProtection="1">
      <alignment horizontal="center" vertical="center"/>
    </xf>
    <xf numFmtId="0" fontId="3" fillId="5" borderId="2" xfId="0" applyFont="1" applyFill="1" applyBorder="1" applyAlignment="1">
      <alignment vertical="center" wrapText="1"/>
    </xf>
    <xf numFmtId="165" fontId="3" fillId="5" borderId="0" xfId="0" applyNumberFormat="1" applyFont="1" applyFill="1"/>
    <xf numFmtId="0" fontId="3" fillId="5" borderId="1" xfId="0" applyFont="1" applyFill="1" applyBorder="1" applyAlignment="1">
      <alignment horizontal="left" vertical="center" wrapText="1"/>
    </xf>
    <xf numFmtId="165" fontId="3" fillId="5" borderId="2" xfId="1" applyNumberFormat="1" applyFont="1" applyFill="1" applyBorder="1" applyAlignment="1">
      <alignment vertical="center"/>
    </xf>
    <xf numFmtId="3" fontId="3" fillId="5" borderId="2" xfId="0" applyNumberFormat="1" applyFont="1" applyFill="1" applyBorder="1" applyAlignment="1">
      <alignment horizontal="center" vertical="center" wrapText="1"/>
    </xf>
    <xf numFmtId="165" fontId="3" fillId="5" borderId="2" xfId="1" applyNumberFormat="1" applyFont="1" applyFill="1" applyBorder="1" applyAlignment="1" applyProtection="1">
      <alignment horizontal="right" vertical="center"/>
    </xf>
    <xf numFmtId="0" fontId="3" fillId="5" borderId="4" xfId="0" applyFont="1" applyFill="1" applyBorder="1" applyAlignment="1">
      <alignment vertical="center" wrapText="1"/>
    </xf>
    <xf numFmtId="0"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65" fontId="3" fillId="5" borderId="2" xfId="1" applyNumberFormat="1" applyFont="1" applyFill="1" applyBorder="1" applyAlignment="1">
      <alignment horizontal="right" vertical="center"/>
    </xf>
    <xf numFmtId="166" fontId="3" fillId="5" borderId="2" xfId="1"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5" borderId="9" xfId="0" applyFont="1" applyFill="1" applyBorder="1" applyAlignment="1">
      <alignment vertical="center" wrapText="1"/>
    </xf>
    <xf numFmtId="165" fontId="2" fillId="4" borderId="2" xfId="1" applyNumberFormat="1" applyFont="1" applyFill="1" applyBorder="1" applyAlignment="1" applyProtection="1">
      <alignment horizontal="right" vertical="center"/>
    </xf>
    <xf numFmtId="166" fontId="2" fillId="4" borderId="2" xfId="1" applyNumberFormat="1" applyFont="1" applyFill="1" applyBorder="1" applyAlignment="1" applyProtection="1">
      <alignment horizontal="right" vertical="center"/>
    </xf>
    <xf numFmtId="9" fontId="3" fillId="7" borderId="2" xfId="2" applyFont="1" applyFill="1" applyBorder="1" applyAlignment="1" applyProtection="1">
      <alignment horizontal="center" vertical="center"/>
    </xf>
    <xf numFmtId="0" fontId="2" fillId="4" borderId="2" xfId="0" applyNumberFormat="1" applyFont="1" applyFill="1" applyBorder="1" applyAlignment="1">
      <alignment vertical="center" wrapText="1"/>
    </xf>
    <xf numFmtId="0" fontId="2" fillId="4" borderId="2" xfId="0" applyFont="1" applyFill="1" applyBorder="1" applyAlignment="1">
      <alignment vertical="center" wrapText="1"/>
    </xf>
    <xf numFmtId="0" fontId="3" fillId="5" borderId="2" xfId="0" applyFont="1" applyFill="1" applyBorder="1" applyAlignment="1">
      <alignment horizontal="center" vertical="center"/>
    </xf>
    <xf numFmtId="0" fontId="3" fillId="5" borderId="1" xfId="0" applyFont="1" applyFill="1" applyBorder="1" applyAlignment="1">
      <alignment vertical="center"/>
    </xf>
    <xf numFmtId="0" fontId="3" fillId="0" borderId="0" xfId="0" applyFont="1" applyAlignment="1">
      <alignment vertical="center"/>
    </xf>
    <xf numFmtId="165" fontId="2" fillId="8" borderId="2" xfId="1" applyNumberFormat="1" applyFont="1" applyFill="1" applyBorder="1" applyAlignment="1" applyProtection="1">
      <alignment horizontal="right" vertical="center"/>
    </xf>
    <xf numFmtId="9" fontId="3" fillId="9" borderId="2" xfId="2" applyFont="1" applyFill="1" applyBorder="1" applyAlignment="1" applyProtection="1">
      <alignment horizontal="center" vertical="center"/>
    </xf>
    <xf numFmtId="0" fontId="2" fillId="8" borderId="2" xfId="0" applyNumberFormat="1" applyFont="1" applyFill="1" applyBorder="1" applyAlignment="1">
      <alignment vertical="center" wrapText="1"/>
    </xf>
    <xf numFmtId="0" fontId="2" fillId="8" borderId="2" xfId="0" applyFont="1" applyFill="1" applyBorder="1" applyAlignment="1">
      <alignment vertical="center" wrapText="1"/>
    </xf>
    <xf numFmtId="0" fontId="3" fillId="5" borderId="0" xfId="0" applyFont="1" applyFill="1" applyAlignment="1">
      <alignment vertical="center"/>
    </xf>
    <xf numFmtId="165" fontId="3" fillId="5" borderId="0" xfId="0" applyNumberFormat="1" applyFont="1" applyFill="1" applyAlignment="1">
      <alignment vertical="center"/>
    </xf>
    <xf numFmtId="1" fontId="3" fillId="5" borderId="2" xfId="0" applyNumberFormat="1" applyFont="1" applyFill="1" applyBorder="1" applyAlignment="1">
      <alignment horizontal="center" vertical="center" wrapText="1"/>
    </xf>
    <xf numFmtId="166" fontId="3" fillId="12" borderId="2" xfId="1" applyNumberFormat="1" applyFont="1" applyFill="1" applyBorder="1" applyAlignment="1" applyProtection="1">
      <alignment vertical="center"/>
    </xf>
    <xf numFmtId="165" fontId="2" fillId="8" borderId="23" xfId="1" applyNumberFormat="1" applyFont="1" applyFill="1" applyBorder="1" applyAlignment="1" applyProtection="1">
      <alignment horizontal="right" vertical="center"/>
    </xf>
    <xf numFmtId="9" fontId="3" fillId="9" borderId="23" xfId="2" applyFont="1" applyFill="1" applyBorder="1" applyAlignment="1" applyProtection="1">
      <alignment horizontal="center" vertical="center"/>
    </xf>
    <xf numFmtId="0" fontId="2" fillId="8" borderId="23" xfId="0" applyNumberFormat="1" applyFont="1" applyFill="1" applyBorder="1" applyAlignment="1">
      <alignment vertical="center" wrapText="1"/>
    </xf>
    <xf numFmtId="0" fontId="2" fillId="8" borderId="23" xfId="0" applyFont="1" applyFill="1" applyBorder="1" applyAlignment="1">
      <alignment vertical="center" wrapText="1"/>
    </xf>
    <xf numFmtId="0" fontId="2" fillId="13" borderId="0" xfId="0" applyFont="1" applyFill="1" applyBorder="1" applyAlignment="1">
      <alignment horizontal="center" vertical="center"/>
    </xf>
    <xf numFmtId="0" fontId="2" fillId="13" borderId="0" xfId="0" applyFont="1" applyFill="1" applyBorder="1" applyAlignment="1">
      <alignment horizontal="center" vertical="center" wrapText="1"/>
    </xf>
    <xf numFmtId="165" fontId="2" fillId="13" borderId="0" xfId="1" applyNumberFormat="1" applyFont="1" applyFill="1" applyBorder="1" applyAlignment="1" applyProtection="1">
      <alignment horizontal="right" vertical="center"/>
    </xf>
    <xf numFmtId="166" fontId="2" fillId="13" borderId="0" xfId="1" applyNumberFormat="1" applyFont="1" applyFill="1" applyBorder="1" applyAlignment="1" applyProtection="1">
      <alignment horizontal="right" vertical="center"/>
    </xf>
    <xf numFmtId="9" fontId="3" fillId="5" borderId="0" xfId="2" applyFont="1" applyFill="1" applyBorder="1" applyAlignment="1" applyProtection="1">
      <alignment horizontal="center" vertical="center"/>
    </xf>
    <xf numFmtId="0" fontId="2" fillId="13" borderId="0" xfId="0" applyNumberFormat="1" applyFont="1" applyFill="1" applyBorder="1" applyAlignment="1">
      <alignment vertical="center" wrapText="1"/>
    </xf>
    <xf numFmtId="0" fontId="2" fillId="13" borderId="0" xfId="0" applyFont="1" applyFill="1" applyBorder="1" applyAlignment="1">
      <alignment vertical="center" wrapText="1"/>
    </xf>
    <xf numFmtId="0" fontId="3" fillId="0" borderId="0" xfId="0" applyFont="1" applyAlignment="1">
      <alignment horizontal="center" vertical="center" wrapText="1"/>
    </xf>
    <xf numFmtId="165" fontId="3" fillId="0" borderId="0" xfId="1" applyNumberFormat="1" applyFont="1"/>
    <xf numFmtId="166" fontId="3" fillId="0" borderId="0" xfId="0" applyNumberFormat="1" applyFont="1" applyAlignment="1">
      <alignment vertical="center"/>
    </xf>
    <xf numFmtId="0" fontId="3" fillId="0" borderId="0" xfId="0" applyFont="1" applyAlignment="1">
      <alignment horizontal="center" vertical="center"/>
    </xf>
    <xf numFmtId="0" fontId="2" fillId="0" borderId="0" xfId="0" applyNumberFormat="1" applyFont="1" applyAlignment="1">
      <alignment vertical="center" wrapText="1"/>
    </xf>
    <xf numFmtId="9" fontId="2" fillId="4" borderId="26" xfId="2" applyFont="1" applyFill="1" applyBorder="1" applyAlignment="1" applyProtection="1">
      <alignment horizontal="center" vertical="center"/>
    </xf>
    <xf numFmtId="0" fontId="2" fillId="4" borderId="26" xfId="0" applyNumberFormat="1" applyFont="1" applyFill="1" applyBorder="1" applyAlignment="1">
      <alignment vertical="center" wrapText="1"/>
    </xf>
    <xf numFmtId="0" fontId="2" fillId="4" borderId="26" xfId="0" applyFont="1" applyFill="1" applyBorder="1" applyAlignment="1">
      <alignment vertical="center" wrapText="1"/>
    </xf>
    <xf numFmtId="165" fontId="2" fillId="3" borderId="26" xfId="1" applyNumberFormat="1" applyFont="1" applyFill="1" applyBorder="1" applyAlignment="1">
      <alignment horizontal="center" vertical="center" wrapText="1"/>
    </xf>
    <xf numFmtId="166" fontId="2" fillId="3" borderId="26" xfId="0" applyNumberFormat="1" applyFont="1" applyFill="1" applyBorder="1" applyAlignment="1">
      <alignment horizontal="center" vertical="center" wrapText="1"/>
    </xf>
    <xf numFmtId="9" fontId="3" fillId="0" borderId="10" xfId="0" applyNumberFormat="1" applyFont="1" applyBorder="1" applyAlignment="1">
      <alignment horizontal="center" vertical="center"/>
    </xf>
    <xf numFmtId="165" fontId="3" fillId="0" borderId="2" xfId="1" applyNumberFormat="1" applyFont="1" applyBorder="1"/>
    <xf numFmtId="9" fontId="3" fillId="0" borderId="3" xfId="0" applyNumberFormat="1" applyFont="1" applyBorder="1" applyAlignment="1">
      <alignment horizontal="center" vertical="center"/>
    </xf>
    <xf numFmtId="9" fontId="3" fillId="6" borderId="2" xfId="2" applyFont="1" applyFill="1" applyBorder="1" applyAlignment="1" applyProtection="1">
      <alignment horizontal="center" vertical="center"/>
    </xf>
    <xf numFmtId="0" fontId="2" fillId="0" borderId="0" xfId="1" applyNumberFormat="1" applyFont="1" applyBorder="1" applyAlignment="1" applyProtection="1">
      <alignment horizontal="right" vertical="center" wrapText="1"/>
    </xf>
    <xf numFmtId="166" fontId="3" fillId="0" borderId="2" xfId="0" applyNumberFormat="1" applyFont="1" applyBorder="1" applyAlignment="1">
      <alignment horizontal="center"/>
    </xf>
    <xf numFmtId="165" fontId="3" fillId="0" borderId="7" xfId="1" applyNumberFormat="1" applyFont="1" applyBorder="1"/>
    <xf numFmtId="166" fontId="3" fillId="0" borderId="7" xfId="0" applyNumberFormat="1" applyFont="1" applyBorder="1" applyAlignment="1">
      <alignment horizontal="center"/>
    </xf>
    <xf numFmtId="9" fontId="3" fillId="0" borderId="8" xfId="0" applyNumberFormat="1" applyFont="1" applyBorder="1" applyAlignment="1">
      <alignment horizontal="center" vertical="center"/>
    </xf>
    <xf numFmtId="165" fontId="2" fillId="3" borderId="26" xfId="1" applyNumberFormat="1" applyFont="1" applyFill="1" applyBorder="1" applyAlignment="1" applyProtection="1">
      <alignment vertical="center"/>
    </xf>
    <xf numFmtId="9" fontId="2" fillId="14" borderId="26" xfId="2" applyFont="1" applyFill="1" applyBorder="1" applyAlignment="1">
      <alignment horizontal="center" vertical="center"/>
    </xf>
    <xf numFmtId="9" fontId="2" fillId="14" borderId="27" xfId="0" applyNumberFormat="1" applyFont="1" applyFill="1" applyBorder="1" applyAlignment="1">
      <alignment horizontal="center" vertical="center"/>
    </xf>
    <xf numFmtId="166" fontId="3" fillId="0" borderId="0" xfId="0" applyNumberFormat="1" applyFont="1"/>
    <xf numFmtId="0" fontId="3" fillId="0" borderId="0" xfId="0" applyFont="1" applyAlignment="1">
      <alignment horizontal="center"/>
    </xf>
    <xf numFmtId="165" fontId="3" fillId="0" borderId="0" xfId="1" applyNumberFormat="1" applyFont="1" applyFill="1" applyBorder="1" applyAlignment="1">
      <alignment horizontal="right" vertical="center" wrapText="1"/>
    </xf>
    <xf numFmtId="165" fontId="3" fillId="5" borderId="0" xfId="1" applyNumberFormat="1" applyFont="1" applyFill="1" applyBorder="1" applyAlignment="1">
      <alignment horizontal="right" vertical="center" wrapText="1"/>
    </xf>
    <xf numFmtId="0" fontId="3" fillId="0" borderId="6" xfId="0" applyFont="1" applyBorder="1" applyAlignment="1">
      <alignment horizontal="left" vertical="center" wrapText="1"/>
    </xf>
    <xf numFmtId="165" fontId="3" fillId="5" borderId="0" xfId="1" applyNumberFormat="1" applyFont="1" applyFill="1" applyBorder="1" applyAlignment="1">
      <alignment horizontal="right" vertical="center"/>
    </xf>
    <xf numFmtId="0" fontId="4" fillId="5" borderId="0" xfId="0" applyFont="1" applyFill="1" applyBorder="1" applyAlignment="1">
      <alignment vertical="center" wrapText="1"/>
    </xf>
    <xf numFmtId="0" fontId="3" fillId="5" borderId="0" xfId="0" applyFont="1" applyFill="1" applyBorder="1"/>
    <xf numFmtId="0" fontId="4" fillId="5" borderId="0" xfId="0" applyFont="1" applyFill="1" applyBorder="1" applyAlignment="1">
      <alignment vertical="center"/>
    </xf>
    <xf numFmtId="0" fontId="2" fillId="5" borderId="0" xfId="0" applyFont="1" applyFill="1" applyBorder="1"/>
    <xf numFmtId="0" fontId="2" fillId="16" borderId="2" xfId="0" applyFont="1" applyFill="1" applyBorder="1" applyAlignment="1"/>
    <xf numFmtId="0" fontId="2" fillId="0" borderId="3" xfId="0" applyFont="1" applyBorder="1" applyAlignment="1">
      <alignment horizontal="center" vertical="center" wrapText="1"/>
    </xf>
    <xf numFmtId="167" fontId="2" fillId="0" borderId="3" xfId="0" applyNumberFormat="1" applyFont="1" applyBorder="1" applyAlignment="1">
      <alignment vertical="center" wrapText="1"/>
    </xf>
    <xf numFmtId="0" fontId="2" fillId="2" borderId="3" xfId="0" applyFont="1" applyFill="1" applyBorder="1" applyAlignment="1">
      <alignment vertical="center" wrapText="1"/>
    </xf>
    <xf numFmtId="167" fontId="2" fillId="5" borderId="3" xfId="0" applyNumberFormat="1" applyFont="1" applyFill="1" applyBorder="1" applyAlignment="1">
      <alignment vertical="center" wrapText="1"/>
    </xf>
    <xf numFmtId="0" fontId="2" fillId="4" borderId="3" xfId="0" applyFont="1" applyFill="1" applyBorder="1" applyAlignment="1">
      <alignment vertical="center" wrapText="1"/>
    </xf>
    <xf numFmtId="0" fontId="2" fillId="8" borderId="3" xfId="0" applyFont="1" applyFill="1" applyBorder="1" applyAlignment="1">
      <alignment vertical="center" wrapText="1"/>
    </xf>
    <xf numFmtId="0" fontId="2" fillId="5" borderId="3" xfId="0" applyFont="1" applyFill="1" applyBorder="1" applyAlignment="1">
      <alignment horizontal="center" vertical="center" wrapText="1"/>
    </xf>
    <xf numFmtId="0" fontId="2" fillId="8" borderId="24" xfId="0" applyFont="1" applyFill="1" applyBorder="1" applyAlignment="1">
      <alignment vertical="center" wrapText="1"/>
    </xf>
    <xf numFmtId="0" fontId="2" fillId="0" borderId="0" xfId="0" applyFont="1" applyAlignment="1">
      <alignment vertical="center"/>
    </xf>
    <xf numFmtId="0" fontId="2" fillId="4" borderId="27" xfId="0" applyFont="1" applyFill="1" applyBorder="1" applyAlignment="1">
      <alignment vertical="center" wrapText="1"/>
    </xf>
    <xf numFmtId="0" fontId="2" fillId="0" borderId="0" xfId="0" applyFont="1"/>
    <xf numFmtId="167" fontId="5" fillId="5" borderId="3" xfId="0" applyNumberFormat="1" applyFont="1" applyFill="1" applyBorder="1" applyAlignment="1">
      <alignment vertical="center" wrapText="1"/>
    </xf>
    <xf numFmtId="9" fontId="3" fillId="5" borderId="2" xfId="2" applyFont="1" applyFill="1" applyBorder="1" applyAlignment="1" applyProtection="1">
      <alignment vertical="center"/>
    </xf>
    <xf numFmtId="0" fontId="3" fillId="5" borderId="2" xfId="4" applyFont="1" applyFill="1" applyBorder="1" applyAlignment="1">
      <alignment wrapText="1"/>
    </xf>
    <xf numFmtId="0" fontId="3"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4" xfId="0" applyFont="1" applyFill="1" applyBorder="1" applyAlignment="1">
      <alignment horizontal="left" vertical="center" wrapText="1"/>
    </xf>
    <xf numFmtId="168" fontId="7" fillId="0" borderId="2" xfId="1" applyNumberFormat="1" applyFont="1" applyFill="1" applyBorder="1" applyAlignment="1">
      <alignment horizontal="right" vertical="center" wrapText="1"/>
    </xf>
    <xf numFmtId="168" fontId="7" fillId="5" borderId="2" xfId="6" applyNumberFormat="1" applyFont="1" applyFill="1" applyBorder="1" applyAlignment="1">
      <alignment horizontal="right" vertical="center" wrapText="1"/>
    </xf>
    <xf numFmtId="3" fontId="8" fillId="5" borderId="2" xfId="0" applyNumberFormat="1" applyFont="1" applyFill="1" applyBorder="1" applyAlignment="1">
      <alignment horizontal="left" vertical="center" wrapText="1"/>
    </xf>
    <xf numFmtId="0" fontId="8" fillId="5"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2" xfId="0" applyFont="1" applyBorder="1" applyAlignment="1">
      <alignment vertical="center" wrapText="1"/>
    </xf>
    <xf numFmtId="3" fontId="9" fillId="5" borderId="2" xfId="0" applyNumberFormat="1" applyFont="1" applyFill="1" applyBorder="1" applyAlignment="1">
      <alignment horizontal="center" vertical="center" wrapText="1"/>
    </xf>
    <xf numFmtId="0" fontId="12" fillId="11" borderId="36" xfId="0" applyFont="1" applyFill="1" applyBorder="1" applyAlignment="1">
      <alignment horizontal="left" vertical="center" wrapText="1"/>
    </xf>
    <xf numFmtId="0" fontId="12" fillId="11" borderId="36" xfId="0" applyFont="1" applyFill="1" applyBorder="1" applyAlignment="1">
      <alignment vertical="center" wrapText="1"/>
    </xf>
    <xf numFmtId="0" fontId="3" fillId="0" borderId="4" xfId="0" applyFont="1" applyBorder="1" applyAlignment="1">
      <alignment horizontal="left" vertical="center" wrapText="1"/>
    </xf>
    <xf numFmtId="3" fontId="12" fillId="18" borderId="36" xfId="0" applyNumberFormat="1" applyFont="1" applyFill="1" applyBorder="1" applyAlignment="1">
      <alignment horizontal="center" vertical="center" wrapText="1"/>
    </xf>
    <xf numFmtId="165" fontId="3" fillId="5" borderId="0" xfId="1" applyNumberFormat="1" applyFont="1" applyFill="1" applyAlignment="1">
      <alignment vertical="center" wrapText="1"/>
    </xf>
    <xf numFmtId="0" fontId="12" fillId="11" borderId="37" xfId="0" applyFont="1" applyFill="1" applyBorder="1" applyAlignment="1">
      <alignment horizontal="left" vertical="center" wrapText="1"/>
    </xf>
    <xf numFmtId="0" fontId="12" fillId="0" borderId="36" xfId="0" applyFont="1" applyBorder="1" applyAlignment="1">
      <alignment vertical="center" wrapText="1"/>
    </xf>
    <xf numFmtId="0" fontId="13" fillId="5" borderId="2" xfId="0" applyFont="1" applyFill="1" applyBorder="1" applyAlignment="1">
      <alignment vertical="center" wrapText="1"/>
    </xf>
    <xf numFmtId="0" fontId="14" fillId="5" borderId="2" xfId="0" applyFont="1" applyFill="1" applyBorder="1" applyAlignment="1">
      <alignment vertical="center" wrapText="1"/>
    </xf>
    <xf numFmtId="0" fontId="14" fillId="5" borderId="7" xfId="0" applyFont="1" applyFill="1" applyBorder="1" applyAlignment="1">
      <alignment vertical="center" wrapText="1"/>
    </xf>
    <xf numFmtId="3" fontId="13" fillId="5"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2" fillId="5" borderId="2" xfId="0" applyFont="1" applyFill="1" applyBorder="1" applyAlignment="1">
      <alignment vertical="center" wrapText="1"/>
    </xf>
    <xf numFmtId="0" fontId="13" fillId="5" borderId="2" xfId="0" applyFont="1" applyFill="1" applyBorder="1" applyAlignment="1">
      <alignment horizontal="left" vertical="center" wrapText="1"/>
    </xf>
    <xf numFmtId="0" fontId="13" fillId="0" borderId="2" xfId="0" applyFont="1" applyFill="1" applyBorder="1" applyAlignment="1">
      <alignment vertical="center" wrapText="1"/>
    </xf>
    <xf numFmtId="0" fontId="20" fillId="0" borderId="2" xfId="0" applyFont="1" applyBorder="1" applyAlignment="1">
      <alignment vertical="center" wrapText="1"/>
    </xf>
    <xf numFmtId="0" fontId="2" fillId="5" borderId="3" xfId="0" applyFont="1" applyFill="1" applyBorder="1" applyAlignment="1">
      <alignment vertical="center" wrapText="1"/>
    </xf>
    <xf numFmtId="0" fontId="3" fillId="19" borderId="2" xfId="0" applyFont="1" applyFill="1" applyBorder="1" applyAlignment="1">
      <alignment horizontal="center" vertical="center" wrapText="1"/>
    </xf>
    <xf numFmtId="0" fontId="9" fillId="5" borderId="2" xfId="0" applyFont="1" applyFill="1" applyBorder="1" applyAlignment="1">
      <alignment vertical="center" wrapText="1"/>
    </xf>
    <xf numFmtId="0" fontId="9"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9" fillId="0" borderId="20" xfId="0" applyFont="1" applyFill="1" applyBorder="1" applyAlignment="1">
      <alignment vertical="center" wrapText="1"/>
    </xf>
    <xf numFmtId="0" fontId="0" fillId="5" borderId="0" xfId="0" applyFill="1" applyAlignment="1">
      <alignment vertical="center" wrapText="1"/>
    </xf>
    <xf numFmtId="0" fontId="9" fillId="0" borderId="7" xfId="0" applyFont="1" applyFill="1" applyBorder="1" applyAlignment="1">
      <alignment vertical="center" wrapText="1"/>
    </xf>
    <xf numFmtId="0" fontId="0" fillId="0" borderId="2" xfId="0" applyFill="1" applyBorder="1" applyAlignment="1">
      <alignment vertical="center" wrapText="1"/>
    </xf>
    <xf numFmtId="0" fontId="9" fillId="5" borderId="7" xfId="0" applyFont="1" applyFill="1" applyBorder="1" applyAlignment="1">
      <alignment vertical="center" wrapText="1"/>
    </xf>
    <xf numFmtId="0" fontId="21" fillId="0" borderId="2" xfId="0" applyFont="1" applyFill="1" applyBorder="1" applyAlignment="1">
      <alignment horizontal="justify" vertical="center" wrapText="1"/>
    </xf>
    <xf numFmtId="168" fontId="9" fillId="0" borderId="2" xfId="6" applyNumberFormat="1" applyFont="1" applyFill="1" applyBorder="1" applyAlignment="1">
      <alignment horizontal="right" vertical="center" wrapText="1"/>
    </xf>
    <xf numFmtId="0" fontId="8" fillId="0" borderId="2" xfId="0" applyFont="1" applyBorder="1" applyAlignment="1">
      <alignment horizontal="left" vertical="center" wrapText="1"/>
    </xf>
    <xf numFmtId="0" fontId="8" fillId="0" borderId="4"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22" fillId="5" borderId="2" xfId="0" applyFont="1" applyFill="1" applyBorder="1" applyAlignment="1">
      <alignment horizontal="left" vertical="center" wrapText="1"/>
    </xf>
    <xf numFmtId="0" fontId="0" fillId="5" borderId="0" xfId="0" applyFont="1" applyFill="1" applyAlignment="1">
      <alignment vertical="center" wrapText="1"/>
    </xf>
    <xf numFmtId="0" fontId="10" fillId="5" borderId="2" xfId="0" applyFont="1" applyFill="1" applyBorder="1" applyAlignment="1">
      <alignment horizontal="justify" vertical="center" wrapText="1"/>
    </xf>
    <xf numFmtId="165" fontId="3" fillId="0" borderId="2" xfId="1" quotePrefix="1" applyNumberFormat="1" applyFont="1" applyFill="1" applyBorder="1" applyAlignment="1">
      <alignment horizontal="right" vertical="center" wrapText="1"/>
    </xf>
    <xf numFmtId="0" fontId="3" fillId="5" borderId="9" xfId="0" applyFont="1" applyFill="1" applyBorder="1" applyAlignment="1">
      <alignment horizontal="left" vertical="center" wrapText="1"/>
    </xf>
    <xf numFmtId="168" fontId="9" fillId="5" borderId="2" xfId="6" applyNumberFormat="1" applyFont="1" applyFill="1" applyBorder="1" applyAlignment="1">
      <alignment vertical="center" wrapText="1"/>
    </xf>
    <xf numFmtId="0" fontId="22" fillId="5" borderId="14" xfId="0"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16" xfId="0" applyFont="1" applyFill="1" applyBorder="1" applyAlignment="1">
      <alignment vertical="center" wrapText="1"/>
    </xf>
    <xf numFmtId="0" fontId="7" fillId="5"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4" fillId="0" borderId="2" xfId="0" applyFont="1" applyBorder="1" applyAlignment="1">
      <alignment horizontal="left" vertical="center" wrapText="1"/>
    </xf>
    <xf numFmtId="0" fontId="24" fillId="5" borderId="2"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4" fillId="5" borderId="2" xfId="0" applyFont="1" applyFill="1" applyBorder="1" applyAlignment="1">
      <alignmen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5" fillId="0" borderId="2" xfId="0" applyFont="1" applyBorder="1" applyAlignment="1">
      <alignment horizontal="left" vertical="center" wrapText="1"/>
    </xf>
    <xf numFmtId="168" fontId="3" fillId="0" borderId="2" xfId="1" applyNumberFormat="1" applyFont="1" applyBorder="1" applyAlignment="1">
      <alignment horizontal="left" vertical="center"/>
    </xf>
    <xf numFmtId="168" fontId="3" fillId="0" borderId="2" xfId="1" applyNumberFormat="1" applyFont="1" applyBorder="1" applyAlignment="1">
      <alignment vertical="center"/>
    </xf>
    <xf numFmtId="166" fontId="9" fillId="5" borderId="2" xfId="1" applyNumberFormat="1" applyFont="1" applyFill="1" applyBorder="1" applyAlignment="1">
      <alignment horizontal="right" vertical="center" wrapText="1"/>
    </xf>
    <xf numFmtId="0" fontId="24" fillId="0" borderId="2" xfId="0" applyFont="1" applyBorder="1" applyAlignment="1">
      <alignment vertical="center"/>
    </xf>
    <xf numFmtId="168" fontId="9" fillId="5" borderId="2" xfId="6" applyNumberFormat="1" applyFont="1" applyFill="1" applyBorder="1" applyAlignment="1">
      <alignment horizontal="right" vertical="center" wrapText="1"/>
    </xf>
    <xf numFmtId="0" fontId="21" fillId="11" borderId="2" xfId="0" applyFont="1" applyFill="1" applyBorder="1" applyAlignment="1">
      <alignment horizontal="left" vertical="center" wrapText="1"/>
    </xf>
    <xf numFmtId="167" fontId="2" fillId="0" borderId="0" xfId="0" applyNumberFormat="1" applyFont="1" applyBorder="1" applyAlignment="1">
      <alignment vertical="center" wrapText="1"/>
    </xf>
    <xf numFmtId="0" fontId="3" fillId="0" borderId="2" xfId="3" applyFont="1" applyFill="1" applyBorder="1" applyAlignment="1">
      <alignment horizontal="left" vertical="center" wrapText="1"/>
    </xf>
    <xf numFmtId="168" fontId="3" fillId="5" borderId="2" xfId="6" applyNumberFormat="1" applyFont="1" applyFill="1" applyBorder="1" applyAlignment="1">
      <alignment horizontal="right" vertical="center" wrapText="1"/>
    </xf>
    <xf numFmtId="0" fontId="11" fillId="0"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166" fontId="3" fillId="0" borderId="2" xfId="1" applyNumberFormat="1" applyFont="1" applyBorder="1" applyAlignment="1" applyProtection="1">
      <alignment horizontal="right" vertical="center"/>
    </xf>
    <xf numFmtId="0" fontId="26" fillId="0" borderId="2" xfId="0" applyFont="1" applyFill="1" applyBorder="1" applyAlignment="1">
      <alignment vertical="center" wrapText="1"/>
    </xf>
    <xf numFmtId="0" fontId="26" fillId="0" borderId="2" xfId="0" applyFont="1" applyBorder="1" applyAlignment="1">
      <alignment vertical="center" wrapText="1"/>
    </xf>
    <xf numFmtId="0" fontId="8" fillId="5" borderId="0" xfId="0" applyFont="1" applyFill="1" applyAlignment="1">
      <alignment vertical="center"/>
    </xf>
    <xf numFmtId="168" fontId="9" fillId="5" borderId="2" xfId="6"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168" fontId="2" fillId="0" borderId="2" xfId="1" applyNumberFormat="1" applyFont="1" applyBorder="1" applyAlignment="1">
      <alignment horizontal="center" vertical="center" wrapText="1"/>
    </xf>
    <xf numFmtId="168" fontId="3" fillId="0" borderId="2" xfId="1" applyNumberFormat="1" applyFont="1" applyBorder="1" applyAlignment="1">
      <alignment horizontal="center" vertical="center" wrapText="1"/>
    </xf>
    <xf numFmtId="168" fontId="2" fillId="2" borderId="2" xfId="1" applyNumberFormat="1" applyFont="1" applyFill="1" applyBorder="1" applyAlignment="1" applyProtection="1">
      <alignment horizontal="right" vertical="center"/>
    </xf>
    <xf numFmtId="168" fontId="3" fillId="0" borderId="2" xfId="1" applyNumberFormat="1" applyFont="1" applyBorder="1" applyAlignment="1" applyProtection="1">
      <alignment horizontal="right" vertical="center"/>
    </xf>
    <xf numFmtId="168" fontId="3" fillId="5" borderId="2" xfId="1" applyNumberFormat="1" applyFont="1" applyFill="1" applyBorder="1" applyAlignment="1">
      <alignment horizontal="right" vertical="center" wrapText="1"/>
    </xf>
    <xf numFmtId="168" fontId="3" fillId="5" borderId="2" xfId="1" applyNumberFormat="1" applyFont="1" applyFill="1" applyBorder="1" applyAlignment="1" applyProtection="1">
      <alignment horizontal="right" vertical="center"/>
    </xf>
    <xf numFmtId="168" fontId="9" fillId="5" borderId="2" xfId="1" applyNumberFormat="1" applyFont="1" applyFill="1" applyBorder="1" applyAlignment="1">
      <alignment horizontal="right" vertical="center" wrapText="1"/>
    </xf>
    <xf numFmtId="168" fontId="9" fillId="0" borderId="2" xfId="1" applyNumberFormat="1" applyFont="1" applyFill="1" applyBorder="1" applyAlignment="1">
      <alignment horizontal="right" vertical="center" wrapText="1"/>
    </xf>
    <xf numFmtId="168" fontId="3" fillId="0" borderId="0" xfId="0" applyNumberFormat="1" applyFont="1"/>
    <xf numFmtId="168" fontId="12" fillId="0" borderId="36" xfId="0" applyNumberFormat="1" applyFont="1" applyBorder="1" applyAlignment="1">
      <alignment horizontal="right" vertical="center" wrapText="1"/>
    </xf>
    <xf numFmtId="168" fontId="3" fillId="11" borderId="36" xfId="0" applyNumberFormat="1" applyFont="1" applyFill="1" applyBorder="1" applyAlignment="1">
      <alignment horizontal="right" vertical="center" wrapText="1"/>
    </xf>
    <xf numFmtId="168" fontId="12" fillId="11" borderId="36" xfId="0" applyNumberFormat="1" applyFont="1" applyFill="1" applyBorder="1" applyAlignment="1">
      <alignment horizontal="right" vertical="center" wrapText="1"/>
    </xf>
    <xf numFmtId="168" fontId="3" fillId="0" borderId="2" xfId="1" applyNumberFormat="1" applyFont="1" applyFill="1" applyBorder="1" applyAlignment="1">
      <alignment horizontal="right" vertical="center" wrapText="1"/>
    </xf>
    <xf numFmtId="168" fontId="3" fillId="5" borderId="2" xfId="1" applyNumberFormat="1" applyFont="1" applyFill="1" applyBorder="1" applyAlignment="1">
      <alignment horizontal="right" vertical="center"/>
    </xf>
    <xf numFmtId="168" fontId="9" fillId="0" borderId="2" xfId="5" applyNumberFormat="1" applyFont="1" applyFill="1" applyBorder="1" applyAlignment="1">
      <alignment horizontal="right" vertical="center" wrapText="1"/>
    </xf>
    <xf numFmtId="168" fontId="9" fillId="0" borderId="20" xfId="5" applyNumberFormat="1" applyFont="1" applyFill="1" applyBorder="1" applyAlignment="1">
      <alignment horizontal="right" vertical="center" wrapText="1"/>
    </xf>
    <xf numFmtId="168" fontId="9" fillId="0" borderId="7" xfId="5" applyNumberFormat="1" applyFont="1" applyFill="1" applyBorder="1" applyAlignment="1">
      <alignment horizontal="right" vertical="center" wrapText="1"/>
    </xf>
    <xf numFmtId="168" fontId="3" fillId="0" borderId="2" xfId="5" applyNumberFormat="1" applyFont="1" applyFill="1" applyBorder="1" applyAlignment="1">
      <alignment horizontal="right" vertical="center" wrapText="1"/>
    </xf>
    <xf numFmtId="168" fontId="3" fillId="0" borderId="2" xfId="5" applyNumberFormat="1" applyFont="1" applyFill="1" applyBorder="1" applyAlignment="1">
      <alignment horizontal="center" vertical="center" wrapText="1"/>
    </xf>
    <xf numFmtId="168" fontId="3" fillId="5" borderId="2" xfId="1" applyNumberFormat="1" applyFont="1" applyFill="1" applyBorder="1" applyAlignment="1">
      <alignment horizontal="center" vertical="center" wrapText="1"/>
    </xf>
    <xf numFmtId="168" fontId="2" fillId="4" borderId="2" xfId="1" applyNumberFormat="1" applyFont="1" applyFill="1" applyBorder="1" applyAlignment="1" applyProtection="1">
      <alignment horizontal="right" vertical="center"/>
    </xf>
    <xf numFmtId="168" fontId="8" fillId="5" borderId="2" xfId="0" applyNumberFormat="1" applyFont="1" applyFill="1" applyBorder="1" applyAlignment="1">
      <alignment horizontal="right" vertical="center"/>
    </xf>
    <xf numFmtId="168" fontId="8" fillId="0" borderId="2" xfId="0" applyNumberFormat="1" applyFont="1" applyBorder="1" applyAlignment="1">
      <alignment horizontal="right" vertical="center"/>
    </xf>
    <xf numFmtId="168" fontId="8" fillId="5" borderId="2" xfId="0" applyNumberFormat="1" applyFont="1" applyFill="1" applyBorder="1" applyAlignment="1">
      <alignment horizontal="right" vertical="center" wrapText="1"/>
    </xf>
    <xf numFmtId="168" fontId="2" fillId="8" borderId="2" xfId="1" applyNumberFormat="1" applyFont="1" applyFill="1" applyBorder="1" applyAlignment="1" applyProtection="1">
      <alignment horizontal="right" vertical="center"/>
    </xf>
    <xf numFmtId="168" fontId="2" fillId="8" borderId="23" xfId="1" applyNumberFormat="1" applyFont="1" applyFill="1" applyBorder="1" applyAlignment="1" applyProtection="1">
      <alignment horizontal="right" vertical="center"/>
    </xf>
    <xf numFmtId="168" fontId="2" fillId="13" borderId="0" xfId="1" applyNumberFormat="1" applyFont="1" applyFill="1" applyBorder="1" applyAlignment="1" applyProtection="1">
      <alignment horizontal="right" vertical="center"/>
    </xf>
    <xf numFmtId="168" fontId="3" fillId="0" borderId="0" xfId="1" applyNumberFormat="1" applyFont="1"/>
    <xf numFmtId="168" fontId="2" fillId="4" borderId="26" xfId="1" applyNumberFormat="1" applyFont="1" applyFill="1" applyBorder="1" applyAlignment="1" applyProtection="1">
      <alignment horizontal="right" vertical="center"/>
    </xf>
    <xf numFmtId="168" fontId="2" fillId="3" borderId="26" xfId="1" applyNumberFormat="1" applyFont="1" applyFill="1" applyBorder="1" applyAlignment="1">
      <alignment horizontal="center" vertical="center" wrapText="1"/>
    </xf>
    <xf numFmtId="168" fontId="3" fillId="0" borderId="9" xfId="1" applyNumberFormat="1" applyFont="1" applyBorder="1" applyAlignment="1" applyProtection="1">
      <alignment horizontal="right" vertical="center"/>
    </xf>
    <xf numFmtId="168" fontId="3" fillId="0" borderId="2" xfId="1" applyNumberFormat="1" applyFont="1" applyBorder="1" applyAlignment="1" applyProtection="1"/>
    <xf numFmtId="168" fontId="3" fillId="0" borderId="7" xfId="1" applyNumberFormat="1" applyFont="1" applyBorder="1" applyAlignment="1" applyProtection="1"/>
    <xf numFmtId="168" fontId="2" fillId="3" borderId="26" xfId="1" applyNumberFormat="1" applyFont="1" applyFill="1" applyBorder="1" applyAlignment="1" applyProtection="1">
      <alignment vertical="center"/>
    </xf>
    <xf numFmtId="0" fontId="9" fillId="0" borderId="14" xfId="0" applyFont="1" applyFill="1" applyBorder="1" applyAlignment="1">
      <alignment vertical="center" wrapText="1"/>
    </xf>
    <xf numFmtId="0" fontId="3" fillId="5" borderId="12" xfId="0" applyFont="1" applyFill="1" applyBorder="1" applyAlignment="1">
      <alignment horizontal="center" vertical="center"/>
    </xf>
    <xf numFmtId="168" fontId="9" fillId="0" borderId="12" xfId="5" applyNumberFormat="1" applyFont="1" applyFill="1" applyBorder="1" applyAlignment="1">
      <alignment horizontal="right" vertical="center" wrapText="1"/>
    </xf>
    <xf numFmtId="165" fontId="3" fillId="5" borderId="12" xfId="1" applyNumberFormat="1" applyFont="1" applyFill="1" applyBorder="1" applyAlignment="1">
      <alignment horizontal="right" vertical="center" wrapText="1"/>
    </xf>
    <xf numFmtId="166" fontId="3" fillId="5" borderId="12" xfId="1" applyNumberFormat="1" applyFont="1" applyFill="1" applyBorder="1" applyAlignment="1" applyProtection="1">
      <alignment vertical="center"/>
    </xf>
    <xf numFmtId="9" fontId="3" fillId="5" borderId="12" xfId="2" applyFont="1" applyFill="1" applyBorder="1" applyAlignment="1" applyProtection="1">
      <alignment horizontal="center" vertical="center"/>
    </xf>
    <xf numFmtId="0" fontId="3" fillId="5" borderId="12" xfId="0" applyFont="1" applyFill="1" applyBorder="1" applyAlignment="1">
      <alignment vertical="center" wrapText="1"/>
    </xf>
    <xf numFmtId="167" fontId="2" fillId="5" borderId="13" xfId="0" applyNumberFormat="1" applyFont="1" applyFill="1" applyBorder="1" applyAlignment="1">
      <alignment vertical="center" wrapText="1"/>
    </xf>
    <xf numFmtId="0" fontId="3" fillId="0" borderId="0" xfId="0" applyFont="1" applyFill="1" applyBorder="1"/>
    <xf numFmtId="0" fontId="18" fillId="0" borderId="0" xfId="0" applyFont="1" applyFill="1" applyBorder="1" applyAlignment="1">
      <alignment vertical="center" wrapText="1"/>
    </xf>
    <xf numFmtId="169" fontId="3" fillId="11" borderId="36" xfId="0" applyNumberFormat="1" applyFont="1" applyFill="1" applyBorder="1" applyAlignment="1">
      <alignment horizontal="right" vertical="center" wrapText="1"/>
    </xf>
    <xf numFmtId="168" fontId="3" fillId="9" borderId="2" xfId="1" applyNumberFormat="1" applyFont="1" applyFill="1" applyBorder="1" applyAlignment="1">
      <alignment horizontal="center" vertical="center" wrapText="1"/>
    </xf>
    <xf numFmtId="168" fontId="3" fillId="10" borderId="2" xfId="1" applyNumberFormat="1" applyFont="1" applyFill="1" applyBorder="1" applyAlignment="1">
      <alignment horizontal="center" vertical="center" wrapText="1"/>
    </xf>
    <xf numFmtId="165" fontId="3" fillId="10" borderId="2" xfId="1" applyNumberFormat="1" applyFont="1" applyFill="1" applyBorder="1" applyAlignment="1" applyProtection="1">
      <alignment horizontal="right" vertical="center"/>
    </xf>
    <xf numFmtId="168" fontId="3" fillId="0" borderId="2" xfId="5" applyNumberFormat="1" applyFont="1" applyFill="1" applyBorder="1" applyAlignment="1">
      <alignment vertical="center"/>
    </xf>
    <xf numFmtId="168" fontId="3" fillId="0"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168" fontId="8" fillId="0" borderId="2" xfId="1" applyNumberFormat="1" applyFont="1" applyBorder="1" applyAlignment="1">
      <alignment horizontal="right" vertical="center"/>
    </xf>
    <xf numFmtId="3" fontId="3" fillId="18" borderId="36" xfId="0" applyNumberFormat="1" applyFont="1" applyFill="1" applyBorder="1" applyAlignment="1">
      <alignment horizontal="center" vertical="center" wrapText="1"/>
    </xf>
    <xf numFmtId="168" fontId="3" fillId="11" borderId="36" xfId="0" applyNumberFormat="1" applyFont="1" applyFill="1" applyBorder="1" applyAlignment="1">
      <alignment horizontal="center" vertical="center" wrapText="1"/>
    </xf>
    <xf numFmtId="168" fontId="3" fillId="0" borderId="36" xfId="0" applyNumberFormat="1" applyFont="1" applyBorder="1" applyAlignment="1">
      <alignment horizontal="right" vertical="center" wrapText="1"/>
    </xf>
    <xf numFmtId="0" fontId="2" fillId="5" borderId="0" xfId="0" applyFont="1" applyFill="1" applyBorder="1" applyAlignment="1">
      <alignment vertical="center" wrapText="1"/>
    </xf>
    <xf numFmtId="0" fontId="2" fillId="10" borderId="15" xfId="0" applyFont="1" applyFill="1" applyBorder="1" applyAlignment="1">
      <alignment vertical="center" wrapText="1"/>
    </xf>
    <xf numFmtId="0" fontId="2" fillId="10" borderId="17" xfId="0" applyFont="1" applyFill="1" applyBorder="1" applyAlignment="1">
      <alignment vertical="center" wrapText="1"/>
    </xf>
    <xf numFmtId="0" fontId="2" fillId="10" borderId="18" xfId="0" applyFont="1" applyFill="1" applyBorder="1" applyAlignment="1">
      <alignment vertical="center" wrapText="1"/>
    </xf>
    <xf numFmtId="0" fontId="2" fillId="10" borderId="38" xfId="0" applyFont="1" applyFill="1" applyBorder="1" applyAlignment="1">
      <alignment vertical="center" wrapText="1"/>
    </xf>
    <xf numFmtId="0" fontId="2" fillId="10" borderId="0" xfId="0" applyFont="1" applyFill="1" applyBorder="1" applyAlignment="1">
      <alignment vertical="center" wrapText="1"/>
    </xf>
    <xf numFmtId="0" fontId="2" fillId="10" borderId="39" xfId="0" applyFont="1" applyFill="1" applyBorder="1" applyAlignment="1">
      <alignment vertical="center" wrapText="1"/>
    </xf>
    <xf numFmtId="168" fontId="31" fillId="2" borderId="2" xfId="1" applyNumberFormat="1" applyFont="1" applyFill="1" applyBorder="1" applyAlignment="1" applyProtection="1">
      <alignment horizontal="right" vertical="center"/>
    </xf>
    <xf numFmtId="168" fontId="32" fillId="3" borderId="40" xfId="1" applyNumberFormat="1" applyFont="1" applyFill="1" applyBorder="1" applyAlignment="1">
      <alignment horizontal="center" vertical="center" wrapText="1"/>
    </xf>
    <xf numFmtId="165" fontId="32" fillId="3" borderId="40" xfId="1" applyNumberFormat="1" applyFont="1" applyFill="1" applyBorder="1" applyAlignment="1">
      <alignment horizontal="center" vertical="center" wrapText="1"/>
    </xf>
    <xf numFmtId="0" fontId="22" fillId="22" borderId="2" xfId="0" applyFont="1" applyFill="1" applyBorder="1" applyAlignment="1">
      <alignment horizontal="center" vertical="center" wrapText="1"/>
    </xf>
    <xf numFmtId="0" fontId="22" fillId="21"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33" fillId="22" borderId="2" xfId="0" applyFont="1" applyFill="1" applyBorder="1" applyAlignment="1">
      <alignment horizontal="center" vertical="center" wrapText="1"/>
    </xf>
    <xf numFmtId="165" fontId="22" fillId="22" borderId="2" xfId="1" applyNumberFormat="1" applyFont="1" applyFill="1" applyBorder="1" applyAlignment="1">
      <alignment horizontal="center" vertical="center"/>
    </xf>
    <xf numFmtId="0" fontId="22" fillId="0" borderId="1" xfId="3" applyNumberFormat="1" applyFont="1" applyFill="1" applyBorder="1" applyAlignment="1" applyProtection="1">
      <alignment horizontal="center" vertical="center" wrapText="1"/>
    </xf>
    <xf numFmtId="0" fontId="22" fillId="0" borderId="2" xfId="3" applyNumberFormat="1" applyFont="1" applyFill="1" applyBorder="1" applyAlignment="1" applyProtection="1">
      <alignment horizontal="center" vertical="center" wrapText="1"/>
    </xf>
    <xf numFmtId="165" fontId="22" fillId="0" borderId="2" xfId="1" applyNumberFormat="1" applyFont="1" applyBorder="1" applyAlignment="1">
      <alignment horizontal="center" vertical="center"/>
    </xf>
    <xf numFmtId="168" fontId="31" fillId="3" borderId="23" xfId="1" applyNumberFormat="1" applyFont="1" applyFill="1" applyBorder="1" applyAlignment="1" applyProtection="1">
      <alignment horizontal="center" vertical="center"/>
    </xf>
    <xf numFmtId="166" fontId="32" fillId="3" borderId="43" xfId="0" applyNumberFormat="1" applyFont="1" applyFill="1" applyBorder="1" applyAlignment="1">
      <alignment horizontal="center" vertical="center" wrapText="1"/>
    </xf>
    <xf numFmtId="9" fontId="22" fillId="22" borderId="3" xfId="2" applyFont="1" applyFill="1" applyBorder="1" applyAlignment="1">
      <alignment horizontal="center" vertical="center"/>
    </xf>
    <xf numFmtId="9" fontId="22" fillId="5" borderId="3" xfId="2" applyFont="1" applyFill="1" applyBorder="1" applyAlignment="1">
      <alignment horizontal="center" vertical="center"/>
    </xf>
    <xf numFmtId="165" fontId="32" fillId="3" borderId="46" xfId="1" applyNumberFormat="1" applyFont="1" applyFill="1" applyBorder="1" applyAlignment="1">
      <alignment horizontal="center" vertical="center" wrapText="1"/>
    </xf>
    <xf numFmtId="165" fontId="22" fillId="22" borderId="14" xfId="1" applyNumberFormat="1" applyFont="1" applyFill="1" applyBorder="1" applyAlignment="1">
      <alignment horizontal="center" vertical="center"/>
    </xf>
    <xf numFmtId="165" fontId="22" fillId="0" borderId="14" xfId="1" applyNumberFormat="1" applyFont="1" applyBorder="1" applyAlignment="1">
      <alignment horizontal="center" vertical="center"/>
    </xf>
    <xf numFmtId="168" fontId="22" fillId="22" borderId="2" xfId="0" applyNumberFormat="1" applyFont="1" applyFill="1" applyBorder="1" applyAlignment="1">
      <alignment horizontal="center" vertical="center" wrapText="1"/>
    </xf>
    <xf numFmtId="168" fontId="22" fillId="21" borderId="2" xfId="0" applyNumberFormat="1" applyFont="1" applyFill="1" applyBorder="1" applyAlignment="1">
      <alignment horizontal="center" vertical="center" wrapText="1"/>
    </xf>
    <xf numFmtId="168" fontId="33" fillId="0" borderId="2" xfId="0" applyNumberFormat="1" applyFont="1" applyBorder="1" applyAlignment="1">
      <alignment horizontal="center" vertical="center" wrapText="1"/>
    </xf>
    <xf numFmtId="168" fontId="33" fillId="22" borderId="2" xfId="0" applyNumberFormat="1" applyFont="1" applyFill="1" applyBorder="1" applyAlignment="1">
      <alignment horizontal="center" vertical="center" wrapText="1"/>
    </xf>
    <xf numFmtId="166" fontId="33" fillId="0" borderId="2" xfId="0" applyNumberFormat="1" applyFont="1" applyBorder="1" applyAlignment="1">
      <alignment horizontal="center" vertical="center" wrapText="1"/>
    </xf>
    <xf numFmtId="168" fontId="22" fillId="5" borderId="2" xfId="0" applyNumberFormat="1" applyFont="1" applyFill="1" applyBorder="1" applyAlignment="1">
      <alignment horizontal="center" vertical="center" wrapText="1"/>
    </xf>
    <xf numFmtId="168" fontId="22" fillId="22" borderId="2" xfId="1" applyNumberFormat="1" applyFont="1" applyFill="1" applyBorder="1" applyAlignment="1" applyProtection="1">
      <alignment horizontal="center" vertical="center"/>
    </xf>
    <xf numFmtId="168" fontId="22" fillId="0" borderId="2" xfId="1" applyNumberFormat="1" applyFont="1" applyBorder="1" applyAlignment="1" applyProtection="1">
      <alignment horizontal="center" vertical="center"/>
    </xf>
    <xf numFmtId="168" fontId="31" fillId="20" borderId="23" xfId="1" applyNumberFormat="1" applyFont="1" applyFill="1" applyBorder="1" applyAlignment="1" applyProtection="1">
      <alignment horizontal="center" vertical="center"/>
    </xf>
    <xf numFmtId="168" fontId="31" fillId="14" borderId="23" xfId="0" applyNumberFormat="1" applyFont="1" applyFill="1" applyBorder="1" applyAlignment="1">
      <alignment horizontal="center" vertical="center" wrapText="1"/>
    </xf>
    <xf numFmtId="165" fontId="31" fillId="3" borderId="23" xfId="1" applyNumberFormat="1" applyFont="1" applyFill="1" applyBorder="1" applyAlignment="1" applyProtection="1">
      <alignment horizontal="center" vertical="center"/>
    </xf>
    <xf numFmtId="165" fontId="31" fillId="3" borderId="47" xfId="1" applyNumberFormat="1" applyFont="1" applyFill="1" applyBorder="1" applyAlignment="1" applyProtection="1">
      <alignment horizontal="center" vertical="center"/>
    </xf>
    <xf numFmtId="0" fontId="3" fillId="5" borderId="2" xfId="0" applyFont="1" applyFill="1" applyBorder="1" applyAlignment="1">
      <alignment horizontal="center" vertical="center" wrapText="1"/>
    </xf>
    <xf numFmtId="168" fontId="3" fillId="23" borderId="36" xfId="0" applyNumberFormat="1" applyFont="1" applyFill="1" applyBorder="1" applyAlignment="1">
      <alignment vertical="center" wrapText="1"/>
    </xf>
    <xf numFmtId="168" fontId="3" fillId="0" borderId="0" xfId="1" applyNumberFormat="1" applyFont="1" applyAlignment="1">
      <alignment horizontal="center" vertical="center"/>
    </xf>
    <xf numFmtId="3" fontId="8" fillId="5" borderId="4" xfId="0" applyNumberFormat="1" applyFont="1" applyFill="1" applyBorder="1" applyAlignment="1">
      <alignment horizontal="left" vertical="center" wrapText="1"/>
    </xf>
    <xf numFmtId="0" fontId="3" fillId="0" borderId="2" xfId="0" applyNumberFormat="1" applyFont="1" applyBorder="1" applyAlignment="1">
      <alignment vertical="center" wrapText="1"/>
    </xf>
    <xf numFmtId="167" fontId="3" fillId="0" borderId="3" xfId="0" applyNumberFormat="1" applyFont="1" applyBorder="1" applyAlignment="1">
      <alignment vertical="center" wrapText="1"/>
    </xf>
    <xf numFmtId="0" fontId="3" fillId="5" borderId="2" xfId="0" applyNumberFormat="1" applyFont="1" applyFill="1" applyBorder="1" applyAlignment="1">
      <alignment horizontal="left" vertical="center" wrapText="1"/>
    </xf>
    <xf numFmtId="0" fontId="3" fillId="5" borderId="2" xfId="0" applyNumberFormat="1" applyFont="1" applyFill="1" applyBorder="1" applyAlignment="1">
      <alignment vertical="center" wrapText="1"/>
    </xf>
    <xf numFmtId="0" fontId="3" fillId="0" borderId="2" xfId="0" applyNumberFormat="1" applyFont="1" applyBorder="1" applyAlignment="1">
      <alignment horizontal="left" vertical="center" wrapText="1"/>
    </xf>
    <xf numFmtId="0" fontId="3" fillId="5" borderId="2" xfId="0" applyFont="1" applyFill="1" applyBorder="1"/>
    <xf numFmtId="0" fontId="2" fillId="0" borderId="1" xfId="0" applyFont="1" applyBorder="1" applyAlignment="1">
      <alignment horizontal="center" vertical="center" wrapText="1"/>
    </xf>
    <xf numFmtId="165" fontId="3" fillId="0" borderId="2" xfId="1" applyNumberFormat="1" applyFont="1" applyBorder="1" applyAlignment="1">
      <alignment horizontal="right" vertical="center" wrapText="1"/>
    </xf>
    <xf numFmtId="167" fontId="3" fillId="5" borderId="3" xfId="0" applyNumberFormat="1" applyFont="1" applyFill="1" applyBorder="1" applyAlignment="1">
      <alignment vertical="center" wrapText="1"/>
    </xf>
    <xf numFmtId="0" fontId="2" fillId="4" borderId="1" xfId="0" applyFont="1" applyFill="1" applyBorder="1" applyAlignment="1">
      <alignment horizontal="left" vertical="center"/>
    </xf>
    <xf numFmtId="0" fontId="3" fillId="5" borderId="2" xfId="0" applyNumberFormat="1" applyFont="1" applyFill="1" applyBorder="1" applyAlignment="1">
      <alignment horizontal="center" vertical="center" wrapText="1"/>
    </xf>
    <xf numFmtId="9" fontId="22" fillId="5" borderId="8" xfId="2" applyFont="1" applyFill="1" applyBorder="1" applyAlignment="1">
      <alignment horizontal="center" vertical="center"/>
    </xf>
    <xf numFmtId="165" fontId="2" fillId="3" borderId="49" xfId="1" applyNumberFormat="1" applyFont="1" applyFill="1" applyBorder="1" applyAlignment="1" applyProtection="1">
      <alignment vertical="center"/>
    </xf>
    <xf numFmtId="168" fontId="2" fillId="3" borderId="49" xfId="1" applyNumberFormat="1" applyFont="1" applyFill="1" applyBorder="1" applyAlignment="1" applyProtection="1">
      <alignment vertical="center"/>
    </xf>
    <xf numFmtId="165" fontId="3" fillId="0" borderId="9" xfId="1" applyNumberFormat="1" applyFont="1" applyBorder="1" applyAlignment="1">
      <alignment horizontal="right"/>
    </xf>
    <xf numFmtId="165" fontId="3" fillId="0" borderId="9" xfId="2" applyNumberFormat="1" applyFont="1" applyBorder="1" applyAlignment="1">
      <alignment horizontal="right"/>
    </xf>
    <xf numFmtId="165" fontId="3" fillId="0" borderId="2" xfId="1" applyNumberFormat="1" applyFont="1" applyBorder="1" applyAlignment="1">
      <alignment horizontal="right"/>
    </xf>
    <xf numFmtId="9" fontId="3" fillId="0" borderId="2" xfId="2" applyFont="1" applyBorder="1" applyAlignment="1">
      <alignment horizontal="right"/>
    </xf>
    <xf numFmtId="168" fontId="3" fillId="0" borderId="2" xfId="1" applyNumberFormat="1" applyFont="1" applyBorder="1" applyAlignment="1" applyProtection="1">
      <alignment horizontal="right"/>
    </xf>
    <xf numFmtId="166" fontId="3" fillId="0" borderId="2" xfId="2" applyNumberFormat="1" applyFont="1" applyBorder="1" applyAlignment="1">
      <alignment horizontal="right"/>
    </xf>
    <xf numFmtId="166" fontId="3" fillId="6" borderId="2" xfId="2" applyNumberFormat="1" applyFont="1" applyFill="1" applyBorder="1" applyAlignment="1" applyProtection="1">
      <alignment horizontal="right" vertical="center"/>
    </xf>
    <xf numFmtId="165" fontId="3" fillId="0" borderId="2" xfId="2" applyNumberFormat="1" applyFont="1" applyBorder="1" applyAlignment="1">
      <alignment horizontal="right"/>
    </xf>
    <xf numFmtId="168" fontId="2" fillId="14" borderId="49" xfId="2" applyNumberFormat="1" applyFont="1" applyFill="1" applyBorder="1" applyAlignment="1">
      <alignment horizontal="center" vertical="center"/>
    </xf>
    <xf numFmtId="0" fontId="2" fillId="5" borderId="2" xfId="0" applyNumberFormat="1" applyFont="1" applyFill="1" applyBorder="1" applyAlignment="1">
      <alignment horizontal="left" vertical="center" wrapText="1"/>
    </xf>
    <xf numFmtId="9" fontId="32" fillId="14" borderId="49" xfId="2" applyFont="1" applyFill="1" applyBorder="1" applyAlignment="1">
      <alignment horizontal="center" vertical="center"/>
    </xf>
    <xf numFmtId="9" fontId="31" fillId="14" borderId="3" xfId="2" applyFont="1" applyFill="1" applyBorder="1" applyAlignment="1">
      <alignment horizontal="center" vertical="center"/>
    </xf>
    <xf numFmtId="0" fontId="3" fillId="5" borderId="50" xfId="0" applyFont="1" applyFill="1" applyBorder="1" applyAlignment="1">
      <alignment vertical="center" wrapText="1"/>
    </xf>
    <xf numFmtId="0" fontId="3" fillId="5" borderId="7" xfId="0" applyFont="1" applyFill="1" applyBorder="1" applyAlignment="1">
      <alignment horizontal="center" vertical="center" wrapText="1"/>
    </xf>
    <xf numFmtId="168" fontId="3" fillId="5" borderId="7" xfId="1" applyNumberFormat="1" applyFont="1" applyFill="1" applyBorder="1" applyAlignment="1" applyProtection="1">
      <alignment horizontal="right" vertical="center"/>
    </xf>
    <xf numFmtId="0" fontId="2" fillId="3" borderId="27" xfId="0" applyFont="1" applyFill="1" applyBorder="1" applyAlignment="1">
      <alignment horizontal="center" vertical="center"/>
    </xf>
    <xf numFmtId="0" fontId="2" fillId="4" borderId="14"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2" fillId="22" borderId="1" xfId="0" applyNumberFormat="1" applyFont="1" applyFill="1" applyBorder="1" applyAlignment="1" applyProtection="1">
      <alignment horizontal="center" vertical="center" wrapText="1"/>
    </xf>
    <xf numFmtId="0" fontId="22" fillId="22" borderId="2" xfId="0" applyNumberFormat="1" applyFont="1" applyFill="1" applyBorder="1" applyAlignment="1" applyProtection="1">
      <alignment horizontal="center" vertical="center" wrapText="1"/>
    </xf>
    <xf numFmtId="168" fontId="3" fillId="0" borderId="2" xfId="1" applyNumberFormat="1" applyFont="1" applyBorder="1" applyAlignment="1">
      <alignment horizontal="center" vertical="center"/>
    </xf>
    <xf numFmtId="168" fontId="2" fillId="4" borderId="12" xfId="0" applyNumberFormat="1" applyFont="1" applyFill="1" applyBorder="1" applyAlignment="1">
      <alignment horizontal="left" vertical="center"/>
    </xf>
    <xf numFmtId="0" fontId="2" fillId="4" borderId="5" xfId="0" applyFont="1" applyFill="1" applyBorder="1" applyAlignment="1">
      <alignment vertical="center"/>
    </xf>
    <xf numFmtId="0" fontId="2" fillId="4" borderId="15" xfId="0" applyFont="1" applyFill="1" applyBorder="1" applyAlignment="1">
      <alignment horizontal="left" vertical="center"/>
    </xf>
    <xf numFmtId="168" fontId="2" fillId="4" borderId="17" xfId="0" applyNumberFormat="1" applyFont="1" applyFill="1" applyBorder="1" applyAlignment="1">
      <alignment horizontal="left" vertical="center"/>
    </xf>
    <xf numFmtId="0" fontId="2" fillId="4" borderId="17" xfId="0" applyFont="1" applyFill="1" applyBorder="1" applyAlignment="1">
      <alignment horizontal="left" vertical="center"/>
    </xf>
    <xf numFmtId="0" fontId="2" fillId="4" borderId="18" xfId="0" applyFont="1" applyFill="1" applyBorder="1" applyAlignment="1">
      <alignment horizontal="left" vertical="center"/>
    </xf>
    <xf numFmtId="0" fontId="2" fillId="16" borderId="2" xfId="0" applyFont="1" applyFill="1" applyBorder="1" applyAlignment="1">
      <alignment horizontal="left" vertical="center"/>
    </xf>
    <xf numFmtId="0" fontId="2" fillId="4" borderId="6" xfId="0" applyFont="1" applyFill="1" applyBorder="1" applyAlignment="1">
      <alignment vertical="center"/>
    </xf>
    <xf numFmtId="0" fontId="2" fillId="4" borderId="19" xfId="0" applyFont="1" applyFill="1" applyBorder="1" applyAlignment="1">
      <alignment horizontal="left" vertical="center"/>
    </xf>
    <xf numFmtId="168" fontId="2" fillId="4" borderId="20" xfId="0" applyNumberFormat="1"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165" fontId="3" fillId="0" borderId="0" xfId="0" applyNumberFormat="1" applyFont="1" applyAlignment="1">
      <alignment vertical="center"/>
    </xf>
    <xf numFmtId="0" fontId="2" fillId="16" borderId="1" xfId="0" applyFont="1" applyFill="1" applyBorder="1" applyAlignment="1">
      <alignment vertical="center"/>
    </xf>
    <xf numFmtId="0" fontId="3" fillId="5" borderId="2" xfId="0" applyFont="1" applyFill="1" applyBorder="1" applyAlignment="1">
      <alignment vertical="center"/>
    </xf>
    <xf numFmtId="0" fontId="2" fillId="16" borderId="2" xfId="0" applyFont="1" applyFill="1" applyBorder="1" applyAlignment="1">
      <alignment vertic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4" borderId="14" xfId="0" applyFont="1" applyFill="1" applyBorder="1" applyAlignment="1">
      <alignment vertical="center"/>
    </xf>
    <xf numFmtId="0" fontId="2" fillId="4" borderId="12" xfId="0" applyFont="1" applyFill="1" applyBorder="1" applyAlignment="1">
      <alignment vertical="center"/>
    </xf>
    <xf numFmtId="0" fontId="2" fillId="4" borderId="13" xfId="0" applyFont="1" applyFill="1" applyBorder="1" applyAlignment="1">
      <alignment vertical="center"/>
    </xf>
    <xf numFmtId="0" fontId="3" fillId="5" borderId="2" xfId="4" applyFont="1" applyFill="1" applyBorder="1" applyAlignment="1">
      <alignment vertical="center" wrapText="1"/>
    </xf>
    <xf numFmtId="168" fontId="3" fillId="0" borderId="0" xfId="1" applyNumberFormat="1" applyFont="1" applyAlignment="1">
      <alignment vertical="center"/>
    </xf>
    <xf numFmtId="165" fontId="3" fillId="0" borderId="0" xfId="1" applyNumberFormat="1" applyFont="1" applyAlignment="1">
      <alignment vertical="center"/>
    </xf>
    <xf numFmtId="165" fontId="3" fillId="0" borderId="9" xfId="1" applyNumberFormat="1" applyFont="1" applyBorder="1" applyAlignment="1">
      <alignment vertical="center"/>
    </xf>
    <xf numFmtId="9" fontId="3" fillId="0" borderId="9" xfId="2" applyFont="1" applyBorder="1" applyAlignment="1">
      <alignment horizontal="center" vertical="center"/>
    </xf>
    <xf numFmtId="165" fontId="3" fillId="0" borderId="2" xfId="1" applyNumberFormat="1" applyFont="1" applyBorder="1" applyAlignment="1">
      <alignment vertical="center"/>
    </xf>
    <xf numFmtId="9" fontId="3" fillId="0" borderId="2" xfId="2" applyFont="1" applyBorder="1" applyAlignment="1">
      <alignment horizontal="center" vertical="center"/>
    </xf>
    <xf numFmtId="168" fontId="3" fillId="0" borderId="2" xfId="1" applyNumberFormat="1" applyFont="1" applyBorder="1" applyAlignment="1" applyProtection="1">
      <alignment vertical="center"/>
    </xf>
    <xf numFmtId="166" fontId="3" fillId="0" borderId="2" xfId="0" applyNumberFormat="1" applyFont="1" applyBorder="1" applyAlignment="1">
      <alignment horizontal="center" vertical="center"/>
    </xf>
    <xf numFmtId="168" fontId="3" fillId="0" borderId="7" xfId="1" applyNumberFormat="1" applyFont="1" applyBorder="1" applyAlignment="1" applyProtection="1">
      <alignment vertical="center"/>
    </xf>
    <xf numFmtId="165" fontId="3" fillId="0" borderId="7" xfId="1" applyNumberFormat="1" applyFont="1" applyBorder="1" applyAlignment="1">
      <alignment vertical="center"/>
    </xf>
    <xf numFmtId="166" fontId="3" fillId="0" borderId="7" xfId="0" applyNumberFormat="1" applyFont="1" applyBorder="1" applyAlignment="1">
      <alignment horizontal="center" vertical="center"/>
    </xf>
    <xf numFmtId="168" fontId="3" fillId="0" borderId="0" xfId="0" applyNumberFormat="1" applyFont="1" applyAlignment="1">
      <alignment vertical="center"/>
    </xf>
    <xf numFmtId="0" fontId="2" fillId="5" borderId="2" xfId="0" applyFont="1" applyFill="1" applyBorder="1" applyAlignment="1">
      <alignment vertical="center" wrapText="1"/>
    </xf>
    <xf numFmtId="0" fontId="2" fillId="4" borderId="2" xfId="0" applyFont="1" applyFill="1" applyBorder="1" applyAlignment="1"/>
    <xf numFmtId="0" fontId="2" fillId="4" borderId="14" xfId="0" applyFont="1" applyFill="1" applyBorder="1" applyAlignment="1"/>
    <xf numFmtId="0" fontId="2" fillId="4" borderId="12" xfId="0" applyFont="1" applyFill="1" applyBorder="1" applyAlignment="1"/>
    <xf numFmtId="0" fontId="2" fillId="4" borderId="13" xfId="0" applyFont="1" applyFill="1" applyBorder="1" applyAlignment="1"/>
    <xf numFmtId="0" fontId="2" fillId="4" borderId="2" xfId="0" applyFont="1" applyFill="1" applyBorder="1" applyAlignment="1">
      <alignment vertical="center"/>
    </xf>
    <xf numFmtId="0" fontId="2" fillId="7" borderId="2" xfId="0" applyFont="1" applyFill="1" applyBorder="1" applyAlignment="1">
      <alignment vertical="center"/>
    </xf>
    <xf numFmtId="0" fontId="32" fillId="8" borderId="2" xfId="0" applyNumberFormat="1" applyFont="1" applyFill="1" applyBorder="1" applyAlignment="1">
      <alignment vertical="center" wrapText="1"/>
    </xf>
    <xf numFmtId="0" fontId="2" fillId="3" borderId="27" xfId="0" applyFont="1" applyFill="1" applyBorder="1" applyAlignment="1">
      <alignment horizontal="center" vertical="center"/>
    </xf>
    <xf numFmtId="0" fontId="2" fillId="0" borderId="6" xfId="0" applyFont="1" applyBorder="1" applyAlignment="1">
      <alignment horizontal="center" vertical="center" wrapText="1"/>
    </xf>
    <xf numFmtId="168" fontId="3" fillId="0" borderId="2" xfId="1"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8" fontId="2" fillId="0" borderId="9" xfId="1" applyNumberFormat="1" applyFont="1" applyBorder="1" applyAlignment="1">
      <alignment horizontal="center" vertical="center" wrapText="1"/>
    </xf>
    <xf numFmtId="165" fontId="2" fillId="0" borderId="9" xfId="1"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0" fontId="32" fillId="4" borderId="12" xfId="0" applyFont="1" applyFill="1" applyBorder="1" applyAlignment="1"/>
    <xf numFmtId="0" fontId="32" fillId="0" borderId="2" xfId="0" applyNumberFormat="1" applyFont="1" applyBorder="1" applyAlignment="1">
      <alignment horizontal="center" vertical="center" wrapText="1"/>
    </xf>
    <xf numFmtId="0" fontId="22" fillId="0" borderId="2" xfId="0" applyNumberFormat="1" applyFont="1" applyBorder="1" applyAlignment="1">
      <alignment horizontal="left" vertical="center" wrapText="1"/>
    </xf>
    <xf numFmtId="0" fontId="32" fillId="2" borderId="2" xfId="0" applyNumberFormat="1" applyFont="1" applyFill="1" applyBorder="1" applyAlignment="1">
      <alignment vertical="center" wrapText="1"/>
    </xf>
    <xf numFmtId="0" fontId="22" fillId="0" borderId="2" xfId="0" applyNumberFormat="1" applyFont="1" applyBorder="1" applyAlignment="1">
      <alignment vertical="center" wrapText="1"/>
    </xf>
    <xf numFmtId="0" fontId="22" fillId="5" borderId="2" xfId="0" applyNumberFormat="1" applyFont="1" applyFill="1" applyBorder="1" applyAlignment="1">
      <alignment vertical="center" wrapText="1"/>
    </xf>
    <xf numFmtId="0" fontId="32" fillId="5" borderId="2" xfId="0" applyNumberFormat="1" applyFont="1" applyFill="1" applyBorder="1" applyAlignment="1">
      <alignment vertical="center" wrapText="1"/>
    </xf>
    <xf numFmtId="0" fontId="32" fillId="5" borderId="2" xfId="0" applyNumberFormat="1" applyFont="1" applyFill="1" applyBorder="1" applyAlignment="1">
      <alignment horizontal="center" vertical="center" wrapText="1"/>
    </xf>
    <xf numFmtId="0" fontId="22" fillId="5" borderId="2" xfId="0" applyNumberFormat="1" applyFont="1" applyFill="1" applyBorder="1" applyAlignment="1">
      <alignment horizontal="left" vertical="center" wrapText="1"/>
    </xf>
    <xf numFmtId="0" fontId="22" fillId="5" borderId="2" xfId="0" applyNumberFormat="1" applyFont="1" applyFill="1" applyBorder="1" applyAlignment="1">
      <alignment horizontal="center" vertical="center" wrapText="1"/>
    </xf>
    <xf numFmtId="0" fontId="32" fillId="5" borderId="12" xfId="0" applyNumberFormat="1" applyFont="1" applyFill="1" applyBorder="1" applyAlignment="1">
      <alignment vertical="center" wrapText="1"/>
    </xf>
    <xf numFmtId="167" fontId="22" fillId="5" borderId="3" xfId="0" applyNumberFormat="1" applyFont="1" applyFill="1" applyBorder="1" applyAlignment="1">
      <alignment vertical="center" wrapText="1"/>
    </xf>
    <xf numFmtId="0" fontId="32" fillId="4" borderId="2" xfId="0" applyNumberFormat="1" applyFont="1" applyFill="1" applyBorder="1" applyAlignment="1">
      <alignment vertical="center" wrapText="1"/>
    </xf>
    <xf numFmtId="0" fontId="32" fillId="0" borderId="9" xfId="0" applyNumberFormat="1" applyFont="1" applyBorder="1" applyAlignment="1">
      <alignment horizontal="center" vertical="center" wrapText="1"/>
    </xf>
    <xf numFmtId="0" fontId="32" fillId="0" borderId="2" xfId="0" applyNumberFormat="1" applyFont="1" applyBorder="1" applyAlignment="1">
      <alignment vertical="center" wrapText="1"/>
    </xf>
    <xf numFmtId="168" fontId="22" fillId="0" borderId="2" xfId="1" applyNumberFormat="1" applyFont="1" applyBorder="1" applyAlignment="1">
      <alignment horizontal="center" vertical="center"/>
    </xf>
    <xf numFmtId="168" fontId="22" fillId="0" borderId="2" xfId="1" applyNumberFormat="1" applyFont="1" applyBorder="1" applyAlignment="1">
      <alignment horizontal="left" vertical="center"/>
    </xf>
    <xf numFmtId="168" fontId="22" fillId="0" borderId="2" xfId="1" applyNumberFormat="1" applyFont="1" applyBorder="1" applyAlignment="1">
      <alignment vertical="center"/>
    </xf>
    <xf numFmtId="166" fontId="34" fillId="5" borderId="2" xfId="1" applyNumberFormat="1" applyFont="1" applyFill="1" applyBorder="1" applyAlignment="1">
      <alignment horizontal="right" vertical="center" wrapText="1"/>
    </xf>
    <xf numFmtId="0" fontId="32" fillId="8" borderId="23" xfId="0" applyNumberFormat="1" applyFont="1" applyFill="1" applyBorder="1" applyAlignment="1">
      <alignment vertical="center" wrapText="1"/>
    </xf>
    <xf numFmtId="0" fontId="32" fillId="13" borderId="0" xfId="0" applyNumberFormat="1" applyFont="1" applyFill="1" applyBorder="1" applyAlignment="1">
      <alignment vertical="center" wrapText="1"/>
    </xf>
    <xf numFmtId="0" fontId="32" fillId="0" borderId="0" xfId="0" applyNumberFormat="1" applyFont="1" applyAlignment="1">
      <alignment vertical="center" wrapText="1"/>
    </xf>
    <xf numFmtId="0" fontId="32" fillId="4" borderId="26" xfId="0" applyNumberFormat="1" applyFont="1" applyFill="1" applyBorder="1" applyAlignment="1">
      <alignment vertical="center" wrapText="1"/>
    </xf>
    <xf numFmtId="0" fontId="32" fillId="0" borderId="0" xfId="1" applyNumberFormat="1" applyFont="1" applyBorder="1" applyAlignment="1" applyProtection="1">
      <alignment horizontal="right" vertical="center" wrapText="1"/>
    </xf>
    <xf numFmtId="0" fontId="32" fillId="0" borderId="0" xfId="0" applyNumberFormat="1" applyFont="1" applyAlignment="1">
      <alignment wrapText="1"/>
    </xf>
    <xf numFmtId="0" fontId="3" fillId="17" borderId="36" xfId="0" applyFont="1" applyFill="1" applyBorder="1" applyAlignment="1">
      <alignment vertical="center" wrapText="1"/>
    </xf>
    <xf numFmtId="0" fontId="22" fillId="11" borderId="36" xfId="0" applyFont="1" applyFill="1" applyBorder="1" applyAlignment="1">
      <alignment vertical="center" wrapText="1"/>
    </xf>
    <xf numFmtId="168" fontId="3" fillId="0" borderId="2" xfId="0" applyNumberFormat="1" applyFont="1" applyBorder="1"/>
    <xf numFmtId="0" fontId="3" fillId="0" borderId="2" xfId="0" applyFont="1" applyBorder="1"/>
    <xf numFmtId="0" fontId="22" fillId="5" borderId="4" xfId="0" applyFont="1" applyFill="1" applyBorder="1" applyAlignment="1">
      <alignment horizontal="left" vertical="center" wrapText="1"/>
    </xf>
    <xf numFmtId="170" fontId="34" fillId="5" borderId="2" xfId="1" applyNumberFormat="1" applyFont="1" applyFill="1" applyBorder="1" applyAlignment="1">
      <alignment horizontal="right" vertical="center" wrapText="1"/>
    </xf>
    <xf numFmtId="0" fontId="22" fillId="0" borderId="4" xfId="0" applyFont="1" applyFill="1" applyBorder="1" applyAlignment="1">
      <alignment horizontal="left" vertical="center" wrapText="1"/>
    </xf>
    <xf numFmtId="0" fontId="10" fillId="0" borderId="2" xfId="0" applyFont="1" applyBorder="1" applyAlignment="1">
      <alignment vertical="center" wrapText="1"/>
    </xf>
    <xf numFmtId="168" fontId="22" fillId="0" borderId="2" xfId="0" applyNumberFormat="1" applyFont="1" applyFill="1" applyBorder="1" applyAlignment="1">
      <alignment horizontal="center" vertical="center"/>
    </xf>
    <xf numFmtId="0" fontId="3" fillId="0" borderId="12" xfId="0" applyFont="1" applyBorder="1" applyAlignment="1">
      <alignment horizontal="left" vertical="center" wrapText="1"/>
    </xf>
    <xf numFmtId="3" fontId="22" fillId="5" borderId="2" xfId="0" applyNumberFormat="1" applyFont="1" applyFill="1" applyBorder="1" applyAlignment="1">
      <alignment horizontal="center" vertical="center" wrapText="1"/>
    </xf>
    <xf numFmtId="0" fontId="22" fillId="0" borderId="4" xfId="0" applyFont="1" applyBorder="1" applyAlignment="1">
      <alignment horizontal="left" vertical="center" wrapText="1"/>
    </xf>
    <xf numFmtId="0" fontId="6" fillId="5" borderId="2" xfId="0" applyFont="1" applyFill="1" applyBorder="1" applyAlignment="1">
      <alignment vertical="center" wrapText="1"/>
    </xf>
    <xf numFmtId="3" fontId="7" fillId="5" borderId="2" xfId="0" applyNumberFormat="1" applyFont="1" applyFill="1" applyBorder="1" applyAlignment="1">
      <alignment horizontal="center" vertical="center" wrapText="1"/>
    </xf>
    <xf numFmtId="166" fontId="7" fillId="0" borderId="2" xfId="1" applyNumberFormat="1" applyFont="1" applyFill="1" applyBorder="1" applyAlignment="1">
      <alignment horizontal="right" vertical="center" wrapText="1"/>
    </xf>
    <xf numFmtId="0" fontId="6" fillId="0" borderId="2" xfId="0" applyFont="1" applyFill="1" applyBorder="1" applyAlignment="1">
      <alignment vertical="center" wrapText="1"/>
    </xf>
    <xf numFmtId="0" fontId="5" fillId="5" borderId="2" xfId="0" applyFont="1" applyFill="1" applyBorder="1" applyAlignment="1">
      <alignment vertical="center" wrapText="1"/>
    </xf>
    <xf numFmtId="0" fontId="7" fillId="5" borderId="2" xfId="0" applyFont="1" applyFill="1" applyBorder="1" applyAlignment="1">
      <alignment vertical="center" wrapText="1"/>
    </xf>
    <xf numFmtId="166" fontId="7" fillId="5" borderId="2" xfId="1" applyNumberFormat="1" applyFont="1" applyFill="1" applyBorder="1" applyAlignment="1">
      <alignment horizontal="right" vertical="center" wrapText="1"/>
    </xf>
    <xf numFmtId="166" fontId="6" fillId="0" borderId="2" xfId="1" applyNumberFormat="1" applyFont="1" applyFill="1" applyBorder="1" applyAlignment="1">
      <alignment horizontal="right" vertical="center" wrapText="1"/>
    </xf>
    <xf numFmtId="0" fontId="36" fillId="5" borderId="2" xfId="0" applyFont="1" applyFill="1" applyBorder="1" applyAlignment="1">
      <alignment vertical="center" wrapText="1"/>
    </xf>
    <xf numFmtId="0" fontId="36"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168" fontId="6" fillId="0" borderId="2" xfId="0" applyNumberFormat="1" applyFont="1" applyFill="1" applyBorder="1" applyAlignment="1">
      <alignment horizontal="center" vertical="center"/>
    </xf>
    <xf numFmtId="42" fontId="9" fillId="0" borderId="2" xfId="5" applyFont="1" applyFill="1" applyBorder="1" applyAlignment="1">
      <alignment horizontal="right" vertical="center" wrapText="1"/>
    </xf>
    <xf numFmtId="42" fontId="9" fillId="0" borderId="20" xfId="5" applyFont="1" applyFill="1" applyBorder="1" applyAlignment="1">
      <alignment horizontal="right" vertical="center" wrapText="1"/>
    </xf>
    <xf numFmtId="0" fontId="3" fillId="0" borderId="2" xfId="0" applyFont="1" applyFill="1" applyBorder="1" applyAlignment="1">
      <alignment vertical="center" wrapText="1"/>
    </xf>
    <xf numFmtId="0" fontId="0" fillId="5" borderId="2" xfId="0" applyFill="1" applyBorder="1" applyAlignment="1">
      <alignment vertical="center" wrapText="1"/>
    </xf>
    <xf numFmtId="0" fontId="3" fillId="0" borderId="17" xfId="0" applyFont="1" applyFill="1" applyBorder="1" applyAlignment="1">
      <alignment vertical="center" wrapText="1"/>
    </xf>
    <xf numFmtId="0" fontId="3" fillId="5" borderId="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1" fillId="5" borderId="2" xfId="0" applyFont="1" applyFill="1" applyBorder="1" applyAlignment="1">
      <alignment horizontal="justify" vertical="center" wrapText="1"/>
    </xf>
    <xf numFmtId="3" fontId="9" fillId="5" borderId="9" xfId="0" applyNumberFormat="1" applyFont="1" applyFill="1" applyBorder="1" applyAlignment="1">
      <alignment horizontal="center" vertical="center" wrapText="1"/>
    </xf>
    <xf numFmtId="172" fontId="9" fillId="5" borderId="2" xfId="1" applyNumberFormat="1" applyFont="1" applyFill="1" applyBorder="1" applyAlignment="1">
      <alignment horizontal="right" vertical="center" wrapText="1"/>
    </xf>
    <xf numFmtId="0" fontId="0" fillId="5" borderId="2" xfId="0" applyFill="1" applyBorder="1" applyAlignment="1">
      <alignment vertical="center"/>
    </xf>
    <xf numFmtId="173" fontId="3" fillId="5" borderId="2" xfId="1" applyNumberFormat="1" applyFont="1" applyFill="1" applyBorder="1" applyAlignment="1">
      <alignment horizontal="left" vertical="center" wrapText="1"/>
    </xf>
    <xf numFmtId="173" fontId="3" fillId="5" borderId="7" xfId="1" applyNumberFormat="1" applyFont="1" applyFill="1" applyBorder="1" applyAlignment="1">
      <alignment horizontal="left" vertical="center" wrapText="1"/>
    </xf>
    <xf numFmtId="0" fontId="8" fillId="5" borderId="0" xfId="0" applyFont="1" applyFill="1" applyAlignment="1">
      <alignment horizontal="left" vertical="center" wrapText="1"/>
    </xf>
    <xf numFmtId="0" fontId="6" fillId="5" borderId="14" xfId="0" applyFont="1" applyFill="1" applyBorder="1" applyAlignment="1">
      <alignment vertical="center" wrapText="1"/>
    </xf>
    <xf numFmtId="174" fontId="7" fillId="0" borderId="2" xfId="6" applyNumberFormat="1" applyFont="1" applyFill="1" applyBorder="1" applyAlignment="1">
      <alignment horizontal="right" vertical="center" wrapText="1"/>
    </xf>
    <xf numFmtId="174" fontId="7" fillId="5" borderId="2" xfId="6" applyNumberFormat="1" applyFont="1" applyFill="1" applyBorder="1" applyAlignment="1">
      <alignment horizontal="right" vertical="center" wrapText="1"/>
    </xf>
    <xf numFmtId="166" fontId="10" fillId="0" borderId="2" xfId="0" applyNumberFormat="1" applyFont="1" applyBorder="1" applyAlignment="1">
      <alignment vertical="center"/>
    </xf>
    <xf numFmtId="166" fontId="0" fillId="0" borderId="2" xfId="0" applyNumberFormat="1" applyBorder="1" applyAlignment="1">
      <alignment vertical="center"/>
    </xf>
    <xf numFmtId="166" fontId="0" fillId="5" borderId="2" xfId="0" applyNumberFormat="1" applyFill="1" applyBorder="1" applyAlignment="1">
      <alignment vertical="center"/>
    </xf>
    <xf numFmtId="0" fontId="3" fillId="0" borderId="14" xfId="0" applyFont="1" applyFill="1" applyBorder="1" applyAlignment="1">
      <alignment horizontal="left" vertical="center" wrapText="1"/>
    </xf>
    <xf numFmtId="175" fontId="3" fillId="0" borderId="2" xfId="1" applyNumberFormat="1" applyFont="1" applyFill="1" applyBorder="1" applyAlignment="1">
      <alignment horizontal="right" vertical="center" wrapText="1"/>
    </xf>
    <xf numFmtId="0" fontId="3" fillId="0" borderId="2" xfId="0" applyFont="1" applyBorder="1" applyAlignment="1">
      <alignment vertical="center"/>
    </xf>
    <xf numFmtId="0" fontId="3" fillId="11" borderId="2" xfId="0" applyFont="1" applyFill="1" applyBorder="1" applyAlignment="1">
      <alignment horizontal="left" vertical="center" wrapText="1"/>
    </xf>
    <xf numFmtId="0" fontId="37" fillId="0" borderId="2" xfId="0" applyFont="1" applyFill="1" applyBorder="1" applyAlignment="1">
      <alignment horizontal="left" vertical="center" wrapText="1"/>
    </xf>
    <xf numFmtId="166" fontId="37" fillId="0" borderId="2" xfId="0" applyNumberFormat="1" applyFont="1" applyBorder="1" applyAlignment="1">
      <alignment horizontal="center" vertical="center"/>
    </xf>
    <xf numFmtId="0" fontId="37" fillId="0" borderId="2" xfId="0" applyFont="1" applyFill="1" applyBorder="1" applyAlignment="1">
      <alignment vertical="center" wrapText="1"/>
    </xf>
    <xf numFmtId="166" fontId="37" fillId="0" borderId="2" xfId="1" applyNumberFormat="1" applyFont="1" applyFill="1" applyBorder="1" applyAlignment="1">
      <alignment horizontal="right" vertical="center" wrapText="1"/>
    </xf>
    <xf numFmtId="0" fontId="21" fillId="0" borderId="2" xfId="0" applyFont="1" applyBorder="1" applyAlignment="1">
      <alignment horizontal="justify" vertical="center" wrapText="1"/>
    </xf>
    <xf numFmtId="168" fontId="3" fillId="5" borderId="2" xfId="6" applyNumberFormat="1" applyFont="1" applyFill="1" applyBorder="1" applyAlignment="1">
      <alignment horizontal="center" vertical="center" wrapText="1"/>
    </xf>
    <xf numFmtId="168" fontId="3" fillId="5" borderId="2" xfId="6" applyNumberFormat="1" applyFont="1" applyFill="1" applyBorder="1" applyAlignment="1">
      <alignment vertical="center" wrapText="1"/>
    </xf>
    <xf numFmtId="42" fontId="3" fillId="0" borderId="0" xfId="7" applyFont="1" applyFill="1" applyAlignment="1">
      <alignment horizontal="right" vertical="center"/>
    </xf>
    <xf numFmtId="0" fontId="3" fillId="11" borderId="36" xfId="0" applyFont="1" applyFill="1" applyBorder="1" applyAlignment="1">
      <alignment horizontal="left" vertical="center" wrapText="1"/>
    </xf>
    <xf numFmtId="0" fontId="3" fillId="0" borderId="36" xfId="0" applyFont="1" applyFill="1" applyBorder="1" applyAlignment="1">
      <alignment vertical="center" wrapText="1"/>
    </xf>
    <xf numFmtId="0" fontId="3" fillId="11" borderId="36" xfId="0" applyFont="1" applyFill="1" applyBorder="1" applyAlignment="1">
      <alignment vertical="center" wrapText="1"/>
    </xf>
    <xf numFmtId="169" fontId="12" fillId="0" borderId="36" xfId="0" applyNumberFormat="1" applyFont="1" applyBorder="1" applyAlignment="1">
      <alignment horizontal="right" vertical="center" wrapText="1"/>
    </xf>
    <xf numFmtId="169" fontId="3" fillId="11" borderId="36" xfId="0" applyNumberFormat="1" applyFont="1" applyFill="1" applyBorder="1" applyAlignment="1">
      <alignment horizontal="center" vertical="center" wrapText="1"/>
    </xf>
    <xf numFmtId="169" fontId="3" fillId="0" borderId="36" xfId="0" applyNumberFormat="1" applyFont="1" applyBorder="1" applyAlignment="1">
      <alignment horizontal="right" vertical="center" wrapText="1"/>
    </xf>
    <xf numFmtId="169" fontId="3" fillId="11" borderId="36" xfId="0" applyNumberFormat="1" applyFont="1" applyFill="1" applyBorder="1" applyAlignment="1">
      <alignment vertical="center" wrapText="1"/>
    </xf>
    <xf numFmtId="169" fontId="12" fillId="11" borderId="36" xfId="0" applyNumberFormat="1" applyFont="1" applyFill="1" applyBorder="1" applyAlignment="1">
      <alignment vertical="center" wrapText="1"/>
    </xf>
    <xf numFmtId="0" fontId="8" fillId="11" borderId="36" xfId="0" applyFont="1" applyFill="1" applyBorder="1" applyAlignment="1">
      <alignment horizontal="left" vertical="center" wrapText="1"/>
    </xf>
    <xf numFmtId="0" fontId="8" fillId="11" borderId="37"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165" fontId="2" fillId="0" borderId="9" xfId="1"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0" fillId="11" borderId="36" xfId="0" applyFont="1" applyFill="1" applyBorder="1" applyAlignment="1">
      <alignment horizontal="left" vertical="center" wrapText="1"/>
    </xf>
    <xf numFmtId="0" fontId="22" fillId="0" borderId="36" xfId="0" applyFont="1" applyBorder="1" applyAlignment="1">
      <alignment vertical="center" wrapText="1"/>
    </xf>
    <xf numFmtId="166" fontId="9" fillId="0" borderId="2" xfId="1" applyNumberFormat="1" applyFont="1" applyFill="1" applyBorder="1" applyAlignment="1">
      <alignment horizontal="right" vertical="center" wrapText="1"/>
    </xf>
    <xf numFmtId="0" fontId="27" fillId="5" borderId="2" xfId="0" applyFont="1" applyFill="1" applyBorder="1" applyAlignment="1">
      <alignment vertical="center" wrapText="1"/>
    </xf>
    <xf numFmtId="0" fontId="27" fillId="5" borderId="7" xfId="0" applyFont="1" applyFill="1" applyBorder="1" applyAlignment="1">
      <alignment vertical="center" wrapText="1"/>
    </xf>
    <xf numFmtId="166" fontId="3" fillId="0" borderId="2" xfId="1" applyNumberFormat="1" applyFont="1" applyFill="1" applyBorder="1" applyAlignment="1">
      <alignment horizontal="right" vertical="center" wrapText="1"/>
    </xf>
    <xf numFmtId="0" fontId="27" fillId="5" borderId="2" xfId="0" applyFont="1" applyFill="1" applyBorder="1" applyAlignment="1">
      <alignment horizontal="left" vertical="center" wrapText="1"/>
    </xf>
    <xf numFmtId="0" fontId="3" fillId="5" borderId="14" xfId="0" applyNumberFormat="1" applyFont="1" applyFill="1" applyBorder="1" applyAlignment="1">
      <alignment vertical="center" wrapText="1"/>
    </xf>
    <xf numFmtId="0" fontId="6" fillId="0" borderId="2" xfId="0" applyFont="1" applyBorder="1" applyAlignment="1">
      <alignment horizontal="center" vertical="center" wrapText="1"/>
    </xf>
    <xf numFmtId="168" fontId="6" fillId="0" borderId="7" xfId="0" applyNumberFormat="1" applyFont="1" applyFill="1" applyBorder="1" applyAlignment="1">
      <alignment horizontal="center" vertical="center"/>
    </xf>
    <xf numFmtId="168" fontId="41" fillId="0" borderId="2" xfId="0" applyNumberFormat="1" applyFont="1" applyFill="1" applyBorder="1" applyAlignment="1">
      <alignment horizontal="center" vertical="center"/>
    </xf>
    <xf numFmtId="166" fontId="41" fillId="5" borderId="2" xfId="1" applyNumberFormat="1" applyFont="1" applyFill="1" applyBorder="1" applyAlignment="1" applyProtection="1">
      <alignment vertical="center"/>
    </xf>
    <xf numFmtId="9" fontId="41" fillId="5" borderId="2" xfId="2" applyFont="1" applyFill="1" applyBorder="1" applyAlignment="1" applyProtection="1">
      <alignment horizontal="center" vertical="center"/>
    </xf>
    <xf numFmtId="0" fontId="42" fillId="0" borderId="0" xfId="0" applyFont="1"/>
    <xf numFmtId="42" fontId="42" fillId="0" borderId="0" xfId="5" applyFont="1"/>
    <xf numFmtId="42" fontId="42" fillId="0" borderId="0" xfId="0" applyNumberFormat="1" applyFont="1"/>
    <xf numFmtId="166" fontId="6" fillId="5" borderId="2" xfId="1" applyNumberFormat="1" applyFont="1" applyFill="1" applyBorder="1" applyAlignment="1" applyProtection="1">
      <alignment vertical="center"/>
    </xf>
    <xf numFmtId="9" fontId="6" fillId="5" borderId="2" xfId="2" applyFont="1" applyFill="1" applyBorder="1" applyAlignment="1" applyProtection="1">
      <alignment horizontal="center" vertical="center"/>
    </xf>
    <xf numFmtId="166" fontId="0" fillId="0" borderId="2" xfId="0" applyNumberFormat="1" applyFont="1" applyBorder="1" applyAlignment="1">
      <alignment horizontal="center" vertical="center"/>
    </xf>
    <xf numFmtId="0" fontId="6" fillId="0" borderId="0" xfId="0" applyFont="1"/>
    <xf numFmtId="0" fontId="5" fillId="4" borderId="1" xfId="0" applyFont="1" applyFill="1" applyBorder="1" applyAlignment="1"/>
    <xf numFmtId="0" fontId="5" fillId="4" borderId="2" xfId="0" applyFont="1" applyFill="1" applyBorder="1" applyAlignment="1">
      <alignment vertical="center"/>
    </xf>
    <xf numFmtId="0" fontId="5" fillId="7" borderId="2"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xf numFmtId="0" fontId="5" fillId="4" borderId="2" xfId="0" applyFont="1" applyFill="1" applyBorder="1" applyAlignment="1"/>
    <xf numFmtId="0" fontId="5" fillId="4" borderId="14" xfId="0" applyFont="1" applyFill="1" applyBorder="1" applyAlignment="1"/>
    <xf numFmtId="0" fontId="5" fillId="4" borderId="12" xfId="0" applyFont="1" applyFill="1" applyBorder="1" applyAlignment="1">
      <alignment vertical="center"/>
    </xf>
    <xf numFmtId="0" fontId="5" fillId="4" borderId="12" xfId="0" applyFont="1" applyFill="1" applyBorder="1" applyAlignment="1"/>
    <xf numFmtId="0" fontId="5" fillId="4" borderId="13" xfId="0" applyFont="1" applyFill="1" applyBorder="1" applyAlignme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68" fontId="5" fillId="0" borderId="2" xfId="1" applyNumberFormat="1" applyFont="1" applyBorder="1" applyAlignment="1">
      <alignment horizontal="center" vertical="center" wrapText="1"/>
    </xf>
    <xf numFmtId="165" fontId="5" fillId="0" borderId="2" xfId="1"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166" fontId="6" fillId="0" borderId="2" xfId="0" applyNumberFormat="1" applyFont="1" applyBorder="1" applyAlignment="1">
      <alignment horizontal="center" vertical="center" wrapText="1"/>
    </xf>
    <xf numFmtId="0" fontId="6" fillId="0" borderId="2" xfId="0" applyNumberFormat="1" applyFont="1" applyBorder="1" applyAlignment="1">
      <alignment horizontal="left" vertical="center" wrapText="1"/>
    </xf>
    <xf numFmtId="168" fontId="5" fillId="2" borderId="2" xfId="1" applyNumberFormat="1" applyFont="1" applyFill="1" applyBorder="1" applyAlignment="1" applyProtection="1">
      <alignment horizontal="right" vertical="center"/>
    </xf>
    <xf numFmtId="165" fontId="5" fillId="2" borderId="2" xfId="1" applyNumberFormat="1" applyFont="1" applyFill="1" applyBorder="1" applyAlignment="1" applyProtection="1">
      <alignment horizontal="right" vertical="center"/>
    </xf>
    <xf numFmtId="9" fontId="6" fillId="2" borderId="2" xfId="2" applyFont="1" applyFill="1" applyBorder="1" applyAlignment="1" applyProtection="1">
      <alignment horizontal="center" vertical="center"/>
    </xf>
    <xf numFmtId="0" fontId="5" fillId="2" borderId="2"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4" borderId="1" xfId="0" applyFont="1" applyFill="1" applyBorder="1" applyAlignment="1">
      <alignment horizontal="left" vertical="center"/>
    </xf>
    <xf numFmtId="168" fontId="6" fillId="0" borderId="9" xfId="0" applyNumberFormat="1" applyFont="1" applyFill="1" applyBorder="1" applyAlignment="1">
      <alignment horizontal="center" vertical="center"/>
    </xf>
    <xf numFmtId="165" fontId="6" fillId="5" borderId="2" xfId="1" applyNumberFormat="1" applyFont="1" applyFill="1" applyBorder="1" applyAlignment="1" applyProtection="1">
      <alignment horizontal="right" vertical="center"/>
    </xf>
    <xf numFmtId="0" fontId="6" fillId="0" borderId="2" xfId="0" applyNumberFormat="1" applyFont="1" applyBorder="1" applyAlignment="1">
      <alignment vertical="center" wrapText="1"/>
    </xf>
    <xf numFmtId="0" fontId="6" fillId="0" borderId="2" xfId="0" applyFont="1" applyBorder="1" applyAlignment="1">
      <alignment vertical="center" wrapText="1"/>
    </xf>
    <xf numFmtId="167" fontId="5" fillId="0" borderId="3" xfId="0" applyNumberFormat="1" applyFont="1" applyBorder="1" applyAlignment="1">
      <alignment vertical="center" wrapText="1"/>
    </xf>
    <xf numFmtId="168" fontId="6" fillId="0" borderId="44" xfId="0" applyNumberFormat="1" applyFont="1" applyFill="1" applyBorder="1" applyAlignment="1">
      <alignment horizontal="center" vertical="center"/>
    </xf>
    <xf numFmtId="0" fontId="6" fillId="5" borderId="0" xfId="0" applyFont="1" applyFill="1"/>
    <xf numFmtId="0" fontId="6" fillId="0" borderId="0" xfId="0" applyFont="1" applyAlignment="1">
      <alignment horizontal="center"/>
    </xf>
    <xf numFmtId="0" fontId="6" fillId="0" borderId="0" xfId="0" applyFont="1" applyAlignment="1">
      <alignment vertical="center"/>
    </xf>
    <xf numFmtId="0" fontId="6" fillId="5" borderId="4" xfId="0" applyFont="1" applyFill="1" applyBorder="1" applyAlignment="1">
      <alignment horizontal="left" vertical="center" wrapText="1"/>
    </xf>
    <xf numFmtId="3" fontId="6" fillId="5" borderId="2" xfId="0" applyNumberFormat="1" applyFont="1" applyFill="1" applyBorder="1" applyAlignment="1">
      <alignment horizontal="center" vertical="center" wrapText="1"/>
    </xf>
    <xf numFmtId="170" fontId="7" fillId="5" borderId="2" xfId="1" applyNumberFormat="1" applyFont="1" applyFill="1" applyBorder="1" applyAlignment="1">
      <alignment horizontal="right" vertical="center" wrapText="1"/>
    </xf>
    <xf numFmtId="0" fontId="6" fillId="0" borderId="4" xfId="0" applyFont="1" applyFill="1" applyBorder="1" applyAlignment="1">
      <alignment horizontal="left" vertical="center" wrapText="1"/>
    </xf>
    <xf numFmtId="0" fontId="40" fillId="0" borderId="2" xfId="0" applyFont="1" applyBorder="1" applyAlignment="1">
      <alignment vertical="center" wrapText="1"/>
    </xf>
    <xf numFmtId="0" fontId="6" fillId="11" borderId="36" xfId="0" applyFont="1" applyFill="1" applyBorder="1" applyAlignment="1">
      <alignment horizontal="left" vertical="center" wrapText="1"/>
    </xf>
    <xf numFmtId="3" fontId="6" fillId="18" borderId="36" xfId="0" applyNumberFormat="1" applyFont="1" applyFill="1" applyBorder="1" applyAlignment="1">
      <alignment horizontal="center" vertical="center" wrapText="1"/>
    </xf>
    <xf numFmtId="169" fontId="6" fillId="11" borderId="36" xfId="0" applyNumberFormat="1" applyFont="1" applyFill="1" applyBorder="1" applyAlignment="1">
      <alignment horizontal="center" vertical="center" wrapText="1"/>
    </xf>
    <xf numFmtId="0" fontId="6" fillId="5" borderId="2" xfId="0" applyNumberFormat="1" applyFont="1" applyFill="1" applyBorder="1" applyAlignment="1">
      <alignment vertical="center" wrapText="1"/>
    </xf>
    <xf numFmtId="0" fontId="6" fillId="0" borderId="36" xfId="0" applyFont="1" applyFill="1" applyBorder="1" applyAlignment="1">
      <alignment vertical="center" wrapText="1"/>
    </xf>
    <xf numFmtId="169" fontId="6" fillId="0" borderId="36" xfId="0" applyNumberFormat="1" applyFont="1" applyBorder="1" applyAlignment="1">
      <alignment horizontal="right" vertical="center" wrapText="1"/>
    </xf>
    <xf numFmtId="0" fontId="6" fillId="11" borderId="36" xfId="0" applyFont="1" applyFill="1" applyBorder="1" applyAlignment="1">
      <alignment vertical="center" wrapText="1"/>
    </xf>
    <xf numFmtId="0" fontId="6" fillId="17" borderId="36" xfId="0" applyFont="1" applyFill="1" applyBorder="1" applyAlignment="1">
      <alignment vertical="center" wrapText="1"/>
    </xf>
    <xf numFmtId="168" fontId="6" fillId="0" borderId="14" xfId="0" applyNumberFormat="1" applyFont="1" applyFill="1" applyBorder="1" applyAlignment="1">
      <alignment horizontal="center" vertical="center"/>
    </xf>
    <xf numFmtId="168" fontId="6" fillId="0" borderId="2" xfId="0" applyNumberFormat="1" applyFont="1" applyFill="1" applyBorder="1" applyAlignment="1">
      <alignment vertical="center"/>
    </xf>
    <xf numFmtId="169" fontId="6" fillId="11" borderId="36" xfId="0" applyNumberFormat="1" applyFont="1" applyFill="1" applyBorder="1" applyAlignment="1">
      <alignment horizontal="right" vertical="center" wrapText="1"/>
    </xf>
    <xf numFmtId="0"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2" xfId="0" applyNumberFormat="1" applyFont="1" applyFill="1" applyBorder="1" applyAlignment="1">
      <alignment horizontal="left" vertical="center" wrapText="1"/>
    </xf>
    <xf numFmtId="0" fontId="5" fillId="5" borderId="3" xfId="0" applyFont="1" applyFill="1" applyBorder="1" applyAlignment="1">
      <alignment horizontal="center" vertical="center" wrapText="1"/>
    </xf>
    <xf numFmtId="169" fontId="6" fillId="11" borderId="0" xfId="0" applyNumberFormat="1" applyFont="1" applyFill="1" applyBorder="1" applyAlignment="1">
      <alignment vertical="center" wrapText="1"/>
    </xf>
    <xf numFmtId="0" fontId="6" fillId="5" borderId="0" xfId="0" applyFont="1" applyFill="1" applyAlignment="1">
      <alignment vertical="center"/>
    </xf>
    <xf numFmtId="169" fontId="6" fillId="11" borderId="36" xfId="0" applyNumberFormat="1" applyFont="1" applyFill="1" applyBorder="1" applyAlignment="1">
      <alignment vertical="center" wrapText="1"/>
    </xf>
    <xf numFmtId="0" fontId="40" fillId="11" borderId="37" xfId="0" applyFont="1" applyFill="1" applyBorder="1" applyAlignment="1">
      <alignment horizontal="left" vertical="center" wrapText="1"/>
    </xf>
    <xf numFmtId="0" fontId="6" fillId="0" borderId="36" xfId="0" applyFont="1" applyBorder="1" applyAlignment="1">
      <alignment vertical="center" wrapText="1"/>
    </xf>
    <xf numFmtId="0" fontId="5" fillId="15" borderId="3" xfId="0" applyFont="1" applyFill="1" applyBorder="1" applyAlignment="1">
      <alignment horizontal="center" vertical="center" wrapText="1"/>
    </xf>
    <xf numFmtId="0" fontId="36" fillId="5" borderId="7" xfId="0" applyFont="1" applyFill="1" applyBorder="1" applyAlignment="1">
      <alignment vertical="center" wrapText="1"/>
    </xf>
    <xf numFmtId="0" fontId="7" fillId="5" borderId="7" xfId="0" applyFont="1" applyFill="1" applyBorder="1" applyAlignment="1">
      <alignment vertical="center" wrapText="1"/>
    </xf>
    <xf numFmtId="0" fontId="6" fillId="5"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167" fontId="6" fillId="5" borderId="3" xfId="0" applyNumberFormat="1" applyFont="1" applyFill="1" applyBorder="1" applyAlignment="1">
      <alignment vertical="center" wrapText="1"/>
    </xf>
    <xf numFmtId="42" fontId="7" fillId="0" borderId="2" xfId="5" applyFont="1" applyFill="1" applyBorder="1" applyAlignment="1">
      <alignment horizontal="right" vertical="center" wrapText="1"/>
    </xf>
    <xf numFmtId="0" fontId="5" fillId="5" borderId="2" xfId="0" applyNumberFormat="1" applyFont="1" applyFill="1" applyBorder="1" applyAlignment="1">
      <alignment vertical="center" wrapText="1"/>
    </xf>
    <xf numFmtId="0" fontId="7" fillId="0" borderId="14" xfId="0" applyFont="1" applyFill="1" applyBorder="1" applyAlignment="1">
      <alignment vertical="center" wrapText="1"/>
    </xf>
    <xf numFmtId="0" fontId="6" fillId="5" borderId="12" xfId="0" applyFont="1" applyFill="1" applyBorder="1" applyAlignment="1">
      <alignment horizontal="center" vertical="center"/>
    </xf>
    <xf numFmtId="168" fontId="7" fillId="0" borderId="12" xfId="5" applyNumberFormat="1" applyFont="1" applyFill="1" applyBorder="1" applyAlignment="1">
      <alignment horizontal="right" vertical="center" wrapText="1"/>
    </xf>
    <xf numFmtId="166" fontId="6" fillId="5" borderId="12" xfId="1" applyNumberFormat="1" applyFont="1" applyFill="1" applyBorder="1" applyAlignment="1" applyProtection="1">
      <alignment vertical="center"/>
    </xf>
    <xf numFmtId="9" fontId="6" fillId="5" borderId="12" xfId="2" applyFont="1" applyFill="1" applyBorder="1" applyAlignment="1" applyProtection="1">
      <alignment horizontal="center" vertical="center"/>
    </xf>
    <xf numFmtId="0" fontId="5" fillId="5" borderId="12" xfId="0" applyNumberFormat="1" applyFont="1" applyFill="1" applyBorder="1" applyAlignment="1">
      <alignment vertical="center" wrapText="1"/>
    </xf>
    <xf numFmtId="0" fontId="6" fillId="5" borderId="12" xfId="0" applyFont="1" applyFill="1" applyBorder="1" applyAlignment="1">
      <alignment vertical="center" wrapText="1"/>
    </xf>
    <xf numFmtId="167" fontId="5" fillId="5" borderId="13" xfId="0" applyNumberFormat="1" applyFont="1" applyFill="1" applyBorder="1" applyAlignment="1">
      <alignment vertical="center" wrapText="1"/>
    </xf>
    <xf numFmtId="0" fontId="6" fillId="5" borderId="2" xfId="0" applyFont="1" applyFill="1" applyBorder="1" applyAlignment="1">
      <alignment horizontal="center" vertical="center"/>
    </xf>
    <xf numFmtId="165" fontId="6" fillId="5" borderId="12" xfId="1" applyNumberFormat="1" applyFont="1" applyFill="1" applyBorder="1" applyAlignment="1">
      <alignment horizontal="right" vertical="center" wrapText="1"/>
    </xf>
    <xf numFmtId="0" fontId="6" fillId="5" borderId="4" xfId="0" applyFont="1" applyFill="1" applyBorder="1" applyAlignment="1">
      <alignment vertical="center" wrapText="1"/>
    </xf>
    <xf numFmtId="0" fontId="7" fillId="0" borderId="20" xfId="0" applyFont="1" applyFill="1" applyBorder="1" applyAlignment="1">
      <alignment vertical="center" wrapText="1"/>
    </xf>
    <xf numFmtId="42" fontId="7" fillId="0" borderId="20" xfId="5" applyFont="1" applyFill="1" applyBorder="1" applyAlignment="1">
      <alignment horizontal="right" vertical="center" wrapText="1"/>
    </xf>
    <xf numFmtId="0" fontId="20" fillId="5" borderId="0" xfId="0" applyFont="1" applyFill="1" applyAlignment="1">
      <alignment vertical="center" wrapText="1"/>
    </xf>
    <xf numFmtId="0" fontId="7" fillId="0" borderId="7" xfId="0" applyFont="1" applyFill="1" applyBorder="1" applyAlignment="1">
      <alignment vertical="center" wrapText="1"/>
    </xf>
    <xf numFmtId="0" fontId="5" fillId="5" borderId="3" xfId="0" applyFont="1" applyFill="1" applyBorder="1" applyAlignment="1">
      <alignment vertical="center" wrapText="1"/>
    </xf>
    <xf numFmtId="0" fontId="20" fillId="0" borderId="2" xfId="0" applyFont="1" applyFill="1" applyBorder="1" applyAlignment="1">
      <alignment vertical="center" wrapText="1"/>
    </xf>
    <xf numFmtId="0" fontId="20" fillId="5" borderId="2" xfId="0" applyFont="1" applyFill="1" applyBorder="1" applyAlignment="1">
      <alignment vertical="center" wrapText="1"/>
    </xf>
    <xf numFmtId="0" fontId="6" fillId="0" borderId="17" xfId="0" applyFont="1" applyFill="1" applyBorder="1" applyAlignment="1">
      <alignment vertical="center" wrapText="1"/>
    </xf>
    <xf numFmtId="0" fontId="44" fillId="0" borderId="2" xfId="0" applyFont="1" applyFill="1" applyBorder="1" applyAlignment="1">
      <alignment horizontal="justify" vertical="center" wrapText="1"/>
    </xf>
    <xf numFmtId="0" fontId="6" fillId="5" borderId="12" xfId="0" applyFont="1" applyFill="1" applyBorder="1" applyAlignment="1">
      <alignment horizontal="center" vertical="center" wrapText="1"/>
    </xf>
    <xf numFmtId="168" fontId="7" fillId="0" borderId="2" xfId="6" applyNumberFormat="1" applyFont="1" applyFill="1" applyBorder="1" applyAlignment="1">
      <alignment horizontal="right" vertical="center" wrapText="1"/>
    </xf>
    <xf numFmtId="14" fontId="45"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40" fillId="0" borderId="2" xfId="0" applyFont="1" applyBorder="1" applyAlignment="1">
      <alignment horizontal="left" vertical="center" wrapText="1"/>
    </xf>
    <xf numFmtId="14" fontId="45" fillId="5" borderId="2" xfId="0" applyNumberFormat="1" applyFont="1" applyFill="1" applyBorder="1" applyAlignment="1">
      <alignment horizontal="center" vertical="center" wrapText="1"/>
    </xf>
    <xf numFmtId="166" fontId="5" fillId="2" borderId="2" xfId="1" applyNumberFormat="1" applyFont="1" applyFill="1" applyBorder="1" applyAlignment="1" applyProtection="1">
      <alignment horizontal="right" vertical="center"/>
    </xf>
    <xf numFmtId="0" fontId="6" fillId="5" borderId="9" xfId="0" applyFont="1" applyFill="1" applyBorder="1" applyAlignment="1">
      <alignment horizontal="left" vertical="center" wrapText="1"/>
    </xf>
    <xf numFmtId="0" fontId="6" fillId="5" borderId="9" xfId="0" applyFont="1" applyFill="1" applyBorder="1" applyAlignment="1">
      <alignment horizontal="center" vertical="center" wrapText="1"/>
    </xf>
    <xf numFmtId="168" fontId="7" fillId="5" borderId="2" xfId="1" applyNumberFormat="1" applyFont="1" applyFill="1" applyBorder="1" applyAlignment="1">
      <alignment horizontal="right" vertical="center" wrapText="1"/>
    </xf>
    <xf numFmtId="172" fontId="7" fillId="5" borderId="2" xfId="1" applyNumberFormat="1" applyFont="1" applyFill="1" applyBorder="1" applyAlignment="1">
      <alignment horizontal="right" vertical="center" wrapText="1"/>
    </xf>
    <xf numFmtId="0" fontId="6" fillId="5" borderId="9" xfId="0" applyFont="1" applyFill="1" applyBorder="1" applyAlignment="1">
      <alignment vertical="center" wrapText="1"/>
    </xf>
    <xf numFmtId="3" fontId="7" fillId="5" borderId="9" xfId="0" applyNumberFormat="1" applyFont="1" applyFill="1" applyBorder="1" applyAlignment="1">
      <alignment horizontal="center" vertical="center" wrapText="1"/>
    </xf>
    <xf numFmtId="173" fontId="6" fillId="5" borderId="2" xfId="1" applyNumberFormat="1" applyFont="1" applyFill="1" applyBorder="1" applyAlignment="1">
      <alignment horizontal="left" vertical="center" wrapText="1"/>
    </xf>
    <xf numFmtId="0" fontId="40" fillId="5" borderId="0" xfId="0" applyFont="1" applyFill="1" applyAlignment="1">
      <alignment horizontal="left" vertical="center" wrapText="1"/>
    </xf>
    <xf numFmtId="175" fontId="6" fillId="0" borderId="2" xfId="1" applyNumberFormat="1" applyFont="1" applyFill="1" applyBorder="1" applyAlignment="1">
      <alignment horizontal="right" vertical="center" wrapText="1"/>
    </xf>
    <xf numFmtId="0" fontId="5" fillId="0" borderId="3" xfId="0" applyFont="1" applyBorder="1" applyAlignment="1">
      <alignment horizontal="left" vertical="top" wrapText="1"/>
    </xf>
    <xf numFmtId="0" fontId="6" fillId="0" borderId="14" xfId="0" applyFont="1" applyFill="1" applyBorder="1" applyAlignment="1">
      <alignment horizontal="left" vertical="center" wrapText="1"/>
    </xf>
    <xf numFmtId="168" fontId="5" fillId="4" borderId="2" xfId="1" applyNumberFormat="1" applyFont="1" applyFill="1" applyBorder="1" applyAlignment="1" applyProtection="1">
      <alignment horizontal="right" vertical="center"/>
    </xf>
    <xf numFmtId="9" fontId="6" fillId="7" borderId="2" xfId="2" applyFont="1" applyFill="1" applyBorder="1" applyAlignment="1" applyProtection="1">
      <alignment horizontal="center" vertical="center"/>
    </xf>
    <xf numFmtId="0" fontId="5" fillId="4" borderId="2" xfId="0" applyNumberFormat="1"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48" fillId="5" borderId="0" xfId="0" applyFont="1" applyFill="1" applyBorder="1" applyAlignment="1">
      <alignment vertical="center" wrapText="1"/>
    </xf>
    <xf numFmtId="0" fontId="6" fillId="5" borderId="0" xfId="0" applyFont="1" applyFill="1" applyBorder="1"/>
    <xf numFmtId="0" fontId="48" fillId="5" borderId="0" xfId="0" applyFont="1" applyFill="1" applyBorder="1" applyAlignment="1">
      <alignment vertical="center"/>
    </xf>
    <xf numFmtId="0" fontId="5" fillId="5" borderId="0" xfId="0" applyFont="1" applyFill="1" applyBorder="1"/>
    <xf numFmtId="0" fontId="5" fillId="16" borderId="2" xfId="0" applyFont="1" applyFill="1" applyBorder="1" applyAlignment="1"/>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168" fontId="5" fillId="0" borderId="9" xfId="1" applyNumberFormat="1" applyFont="1" applyBorder="1" applyAlignment="1">
      <alignment horizontal="center" vertical="center" wrapText="1"/>
    </xf>
    <xf numFmtId="165" fontId="5" fillId="0" borderId="9" xfId="1" applyNumberFormat="1" applyFont="1" applyBorder="1" applyAlignment="1">
      <alignment horizontal="center" vertical="center" wrapText="1"/>
    </xf>
    <xf numFmtId="166"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5" borderId="7" xfId="0" applyFont="1" applyFill="1" applyBorder="1" applyAlignment="1">
      <alignment horizontal="center" vertical="center" wrapText="1"/>
    </xf>
    <xf numFmtId="0" fontId="5" fillId="4" borderId="1" xfId="0" applyFont="1" applyFill="1" applyBorder="1" applyAlignment="1">
      <alignment vertical="center"/>
    </xf>
    <xf numFmtId="168" fontId="6" fillId="5" borderId="2" xfId="0" applyNumberFormat="1" applyFont="1" applyFill="1" applyBorder="1" applyAlignment="1">
      <alignment horizontal="center" vertical="center"/>
    </xf>
    <xf numFmtId="0" fontId="6" fillId="5" borderId="2" xfId="0" applyNumberFormat="1" applyFont="1" applyFill="1" applyBorder="1" applyAlignment="1">
      <alignment horizontal="left" vertical="top" wrapText="1"/>
    </xf>
    <xf numFmtId="0" fontId="5" fillId="0" borderId="2" xfId="0" applyFont="1" applyBorder="1" applyAlignment="1">
      <alignment horizontal="left" vertical="top" wrapText="1"/>
    </xf>
    <xf numFmtId="166" fontId="40" fillId="0" borderId="2" xfId="0" applyNumberFormat="1" applyFont="1" applyBorder="1" applyAlignment="1">
      <alignment vertical="center"/>
    </xf>
    <xf numFmtId="0" fontId="40" fillId="5" borderId="2" xfId="0" applyFont="1" applyFill="1" applyBorder="1" applyAlignment="1">
      <alignment horizontal="center" vertical="center" wrapText="1"/>
    </xf>
    <xf numFmtId="0" fontId="40" fillId="5" borderId="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20" fillId="5" borderId="2" xfId="0" applyFont="1" applyFill="1" applyBorder="1" applyAlignment="1">
      <alignment horizontal="center" vertical="center" wrapText="1"/>
    </xf>
    <xf numFmtId="166" fontId="20" fillId="0" borderId="2" xfId="0" applyNumberFormat="1" applyFont="1" applyBorder="1" applyAlignment="1">
      <alignment vertical="center"/>
    </xf>
    <xf numFmtId="0" fontId="49" fillId="0" borderId="2" xfId="0" applyFont="1" applyBorder="1" applyAlignment="1">
      <alignment vertical="center" wrapText="1"/>
    </xf>
    <xf numFmtId="0" fontId="49" fillId="0" borderId="2" xfId="0" applyFont="1" applyBorder="1" applyAlignment="1">
      <alignment horizontal="left" vertical="center" wrapText="1"/>
    </xf>
    <xf numFmtId="0" fontId="5" fillId="0" borderId="2" xfId="0" applyNumberFormat="1" applyFont="1" applyBorder="1" applyAlignment="1">
      <alignment vertical="center" wrapText="1"/>
    </xf>
    <xf numFmtId="166" fontId="20" fillId="5" borderId="2" xfId="0" applyNumberFormat="1" applyFont="1" applyFill="1" applyBorder="1" applyAlignment="1">
      <alignment vertical="center"/>
    </xf>
    <xf numFmtId="168" fontId="6" fillId="5" borderId="2" xfId="1" applyNumberFormat="1" applyFont="1" applyFill="1" applyBorder="1" applyAlignment="1">
      <alignment horizontal="center" vertical="center"/>
    </xf>
    <xf numFmtId="168" fontId="6" fillId="5" borderId="2" xfId="1" applyNumberFormat="1" applyFont="1" applyFill="1" applyBorder="1" applyAlignment="1">
      <alignment vertical="center"/>
    </xf>
    <xf numFmtId="168" fontId="6" fillId="5" borderId="2" xfId="1" applyNumberFormat="1" applyFont="1" applyFill="1" applyBorder="1" applyAlignment="1">
      <alignment horizontal="left" vertical="center"/>
    </xf>
    <xf numFmtId="166" fontId="7" fillId="5" borderId="2" xfId="1" applyNumberFormat="1" applyFont="1" applyFill="1" applyBorder="1" applyAlignment="1">
      <alignment horizontal="left" vertical="center" wrapText="1"/>
    </xf>
    <xf numFmtId="0" fontId="6" fillId="5" borderId="2" xfId="1" applyNumberFormat="1" applyFont="1" applyFill="1" applyBorder="1" applyAlignment="1">
      <alignment horizontal="left" vertical="center" wrapText="1"/>
    </xf>
    <xf numFmtId="165" fontId="5" fillId="4" borderId="2" xfId="1" applyNumberFormat="1" applyFont="1" applyFill="1" applyBorder="1" applyAlignment="1" applyProtection="1">
      <alignment horizontal="right" vertical="center"/>
    </xf>
    <xf numFmtId="168" fontId="6" fillId="5" borderId="2" xfId="6" applyNumberFormat="1" applyFont="1" applyFill="1" applyBorder="1" applyAlignment="1">
      <alignment horizontal="right" vertical="center" wrapText="1"/>
    </xf>
    <xf numFmtId="0" fontId="6" fillId="0" borderId="2" xfId="0" applyFont="1" applyBorder="1" applyAlignment="1">
      <alignment vertical="center"/>
    </xf>
    <xf numFmtId="168" fontId="5" fillId="8" borderId="2" xfId="1" applyNumberFormat="1" applyFont="1" applyFill="1" applyBorder="1" applyAlignment="1" applyProtection="1">
      <alignment horizontal="right" vertical="center"/>
    </xf>
    <xf numFmtId="165" fontId="5" fillId="8" borderId="2" xfId="1" applyNumberFormat="1" applyFont="1" applyFill="1" applyBorder="1" applyAlignment="1" applyProtection="1">
      <alignment horizontal="right" vertical="center"/>
    </xf>
    <xf numFmtId="9" fontId="6" fillId="9" borderId="2" xfId="2" applyFont="1" applyFill="1" applyBorder="1" applyAlignment="1" applyProtection="1">
      <alignment horizontal="center" vertical="center"/>
    </xf>
    <xf numFmtId="0" fontId="5" fillId="8" borderId="2" xfId="0" applyNumberFormat="1" applyFont="1" applyFill="1" applyBorder="1" applyAlignment="1">
      <alignment vertical="center" wrapText="1"/>
    </xf>
    <xf numFmtId="0" fontId="5" fillId="8" borderId="2" xfId="0" applyFont="1" applyFill="1" applyBorder="1" applyAlignment="1">
      <alignment vertical="center" wrapText="1"/>
    </xf>
    <xf numFmtId="0" fontId="5" fillId="8" borderId="3" xfId="0" applyFont="1" applyFill="1" applyBorder="1" applyAlignment="1">
      <alignment vertical="center" wrapText="1"/>
    </xf>
    <xf numFmtId="0" fontId="6" fillId="11" borderId="2" xfId="0" applyFont="1" applyFill="1" applyBorder="1" applyAlignment="1">
      <alignment horizontal="left" vertical="center" wrapText="1"/>
    </xf>
    <xf numFmtId="166" fontId="6" fillId="5" borderId="2" xfId="0" applyNumberFormat="1" applyFont="1" applyFill="1" applyBorder="1" applyAlignment="1">
      <alignment horizontal="center" vertical="center"/>
    </xf>
    <xf numFmtId="0" fontId="44" fillId="0" borderId="2" xfId="0" applyFont="1" applyBorder="1" applyAlignment="1">
      <alignment horizontal="justify" vertical="center" wrapText="1"/>
    </xf>
    <xf numFmtId="168" fontId="6" fillId="5" borderId="2" xfId="6" applyNumberFormat="1" applyFont="1" applyFill="1" applyBorder="1" applyAlignment="1">
      <alignment horizontal="center" vertical="center" wrapText="1"/>
    </xf>
    <xf numFmtId="0" fontId="6" fillId="5" borderId="2" xfId="4" applyFont="1" applyFill="1" applyBorder="1" applyAlignment="1">
      <alignment wrapText="1"/>
    </xf>
    <xf numFmtId="0" fontId="6" fillId="5" borderId="3" xfId="0" applyFont="1" applyFill="1" applyBorder="1" applyAlignment="1">
      <alignment horizontal="left" vertical="center" wrapText="1"/>
    </xf>
    <xf numFmtId="168" fontId="6" fillId="5" borderId="2" xfId="6" applyNumberFormat="1" applyFont="1" applyFill="1" applyBorder="1" applyAlignment="1">
      <alignment vertical="center" wrapText="1"/>
    </xf>
    <xf numFmtId="42" fontId="6" fillId="0" borderId="0" xfId="7" applyFont="1" applyFill="1" applyAlignment="1">
      <alignment horizontal="right" vertical="center"/>
    </xf>
    <xf numFmtId="1" fontId="6" fillId="5" borderId="2" xfId="0" applyNumberFormat="1" applyFont="1" applyFill="1" applyBorder="1" applyAlignment="1">
      <alignment horizontal="center" vertical="center" wrapText="1"/>
    </xf>
    <xf numFmtId="168" fontId="5" fillId="8" borderId="23" xfId="1" applyNumberFormat="1" applyFont="1" applyFill="1" applyBorder="1" applyAlignment="1" applyProtection="1">
      <alignment horizontal="right" vertical="center"/>
    </xf>
    <xf numFmtId="9" fontId="6" fillId="9" borderId="23" xfId="2" applyFont="1" applyFill="1" applyBorder="1" applyAlignment="1" applyProtection="1">
      <alignment horizontal="center" vertical="center"/>
    </xf>
    <xf numFmtId="0" fontId="5" fillId="8" borderId="23" xfId="0" applyNumberFormat="1" applyFont="1" applyFill="1" applyBorder="1" applyAlignment="1">
      <alignment vertical="center" wrapText="1"/>
    </xf>
    <xf numFmtId="0" fontId="5" fillId="8" borderId="23" xfId="0" applyFont="1" applyFill="1" applyBorder="1" applyAlignment="1">
      <alignment vertical="center" wrapText="1"/>
    </xf>
    <xf numFmtId="0" fontId="5" fillId="8" borderId="24" xfId="0" applyFont="1" applyFill="1" applyBorder="1" applyAlignment="1">
      <alignment vertical="center" wrapText="1"/>
    </xf>
    <xf numFmtId="0" fontId="5" fillId="13" borderId="0" xfId="0" applyFont="1" applyFill="1" applyBorder="1" applyAlignment="1">
      <alignment horizontal="center" vertical="center"/>
    </xf>
    <xf numFmtId="0" fontId="5" fillId="13" borderId="0" xfId="0" applyFont="1" applyFill="1" applyBorder="1" applyAlignment="1">
      <alignment horizontal="center" vertical="center" wrapText="1"/>
    </xf>
    <xf numFmtId="168" fontId="5" fillId="13" borderId="0" xfId="1" applyNumberFormat="1" applyFont="1" applyFill="1" applyBorder="1" applyAlignment="1" applyProtection="1">
      <alignment horizontal="right" vertical="center"/>
    </xf>
    <xf numFmtId="165" fontId="5" fillId="13" borderId="0" xfId="1" applyNumberFormat="1" applyFont="1" applyFill="1" applyBorder="1" applyAlignment="1" applyProtection="1">
      <alignment horizontal="right" vertical="center"/>
    </xf>
    <xf numFmtId="166" fontId="5" fillId="13" borderId="0" xfId="1" applyNumberFormat="1" applyFont="1" applyFill="1" applyBorder="1" applyAlignment="1" applyProtection="1">
      <alignment horizontal="right" vertical="center"/>
    </xf>
    <xf numFmtId="9" fontId="6" fillId="5" borderId="0" xfId="2" applyFont="1" applyFill="1" applyBorder="1" applyAlignment="1" applyProtection="1">
      <alignment horizontal="center" vertical="center"/>
    </xf>
    <xf numFmtId="0" fontId="5" fillId="13" borderId="0" xfId="0" applyNumberFormat="1" applyFont="1" applyFill="1" applyBorder="1" applyAlignment="1">
      <alignment vertical="center" wrapText="1"/>
    </xf>
    <xf numFmtId="0" fontId="5" fillId="13" borderId="0" xfId="0" applyFont="1" applyFill="1" applyBorder="1" applyAlignment="1">
      <alignment vertical="center" wrapText="1"/>
    </xf>
    <xf numFmtId="0" fontId="6" fillId="0" borderId="0" xfId="0" applyFont="1" applyAlignment="1">
      <alignment vertical="center" wrapText="1"/>
    </xf>
    <xf numFmtId="168" fontId="6" fillId="0" borderId="0" xfId="1" applyNumberFormat="1" applyFont="1" applyAlignment="1">
      <alignment vertical="center"/>
    </xf>
    <xf numFmtId="165" fontId="6" fillId="0" borderId="0" xfId="1" applyNumberFormat="1" applyFont="1"/>
    <xf numFmtId="166" fontId="6" fillId="0" borderId="0" xfId="0" applyNumberFormat="1" applyFont="1"/>
    <xf numFmtId="0" fontId="5" fillId="0" borderId="0" xfId="0" applyNumberFormat="1" applyFont="1" applyAlignment="1">
      <alignment wrapText="1"/>
    </xf>
    <xf numFmtId="0" fontId="5" fillId="0" borderId="0" xfId="0" applyFont="1"/>
    <xf numFmtId="42" fontId="6" fillId="5" borderId="2" xfId="7" applyFont="1" applyFill="1" applyBorder="1" applyAlignment="1">
      <alignment horizontal="right" vertical="center"/>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6" fillId="0" borderId="0" xfId="0" applyFont="1" applyAlignment="1">
      <alignment horizontal="center" vertical="center" wrapText="1"/>
    </xf>
    <xf numFmtId="42" fontId="6" fillId="0" borderId="0" xfId="5" applyFont="1" applyAlignment="1">
      <alignment vertical="center" wrapText="1"/>
    </xf>
    <xf numFmtId="42" fontId="6" fillId="0" borderId="0" xfId="0" applyNumberFormat="1" applyFont="1" applyAlignment="1">
      <alignment horizontal="center" vertical="center" wrapText="1"/>
    </xf>
    <xf numFmtId="166" fontId="6" fillId="0" borderId="0" xfId="0" applyNumberFormat="1" applyFont="1" applyAlignment="1">
      <alignment vertical="center" wrapText="1"/>
    </xf>
    <xf numFmtId="165" fontId="6" fillId="0" borderId="0" xfId="0" applyNumberFormat="1" applyFont="1" applyAlignment="1">
      <alignment vertical="center" wrapText="1"/>
    </xf>
    <xf numFmtId="42" fontId="6" fillId="5" borderId="0" xfId="5" applyFont="1" applyFill="1" applyAlignment="1">
      <alignment vertical="center" wrapText="1"/>
    </xf>
    <xf numFmtId="165" fontId="6" fillId="5" borderId="0" xfId="0" applyNumberFormat="1" applyFont="1" applyFill="1" applyAlignment="1">
      <alignment vertical="center" wrapText="1"/>
    </xf>
    <xf numFmtId="0" fontId="6" fillId="5" borderId="0" xfId="0" applyFont="1" applyFill="1" applyAlignment="1">
      <alignment vertical="center" wrapText="1"/>
    </xf>
    <xf numFmtId="0" fontId="5" fillId="5" borderId="0" xfId="0" applyFont="1" applyFill="1" applyBorder="1" applyAlignment="1">
      <alignment vertical="center" wrapText="1"/>
    </xf>
    <xf numFmtId="176" fontId="0" fillId="22" borderId="44" xfId="0" applyNumberFormat="1" applyFill="1" applyBorder="1"/>
    <xf numFmtId="0" fontId="6" fillId="0" borderId="0" xfId="0" applyFont="1" applyAlignment="1">
      <alignment horizontal="center" vertical="center"/>
    </xf>
    <xf numFmtId="42" fontId="6" fillId="0" borderId="0" xfId="0" applyNumberFormat="1" applyFont="1" applyAlignment="1">
      <alignment vertical="center" wrapText="1"/>
    </xf>
    <xf numFmtId="0" fontId="5" fillId="4" borderId="14" xfId="0" applyFont="1" applyFill="1" applyBorder="1" applyAlignment="1">
      <alignment horizontal="left"/>
    </xf>
    <xf numFmtId="0" fontId="5" fillId="4" borderId="12" xfId="0" applyFont="1" applyFill="1" applyBorder="1" applyAlignment="1">
      <alignment horizontal="left"/>
    </xf>
    <xf numFmtId="0" fontId="5" fillId="4" borderId="13" xfId="0" applyFont="1" applyFill="1" applyBorder="1" applyAlignment="1">
      <alignment horizontal="left"/>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4" xfId="0" applyFont="1" applyFill="1" applyBorder="1" applyAlignment="1">
      <alignment horizontal="center" vertical="center"/>
    </xf>
    <xf numFmtId="0" fontId="5" fillId="4" borderId="14" xfId="0" applyFont="1" applyFill="1" applyBorder="1" applyAlignment="1">
      <alignment horizontal="left" wrapText="1"/>
    </xf>
    <xf numFmtId="0" fontId="5" fillId="4" borderId="12" xfId="0" applyFont="1" applyFill="1" applyBorder="1" applyAlignment="1">
      <alignment horizontal="left" wrapText="1"/>
    </xf>
    <xf numFmtId="0" fontId="5" fillId="4" borderId="13" xfId="0" applyFont="1" applyFill="1" applyBorder="1" applyAlignment="1">
      <alignment horizontal="left" wrapText="1"/>
    </xf>
    <xf numFmtId="0" fontId="5" fillId="4" borderId="14" xfId="0" applyFont="1" applyFill="1" applyBorder="1" applyAlignment="1">
      <alignment horizontal="left" vertical="center"/>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4" borderId="14"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2" fontId="5" fillId="3" borderId="11" xfId="0" applyNumberFormat="1" applyFont="1" applyFill="1" applyBorder="1" applyAlignment="1">
      <alignment horizontal="center"/>
    </xf>
    <xf numFmtId="2" fontId="5" fillId="3" borderId="12" xfId="0" applyNumberFormat="1" applyFont="1" applyFill="1" applyBorder="1" applyAlignment="1">
      <alignment horizontal="center"/>
    </xf>
    <xf numFmtId="2" fontId="5" fillId="3" borderId="13" xfId="0" applyNumberFormat="1" applyFont="1" applyFill="1" applyBorder="1" applyAlignment="1">
      <alignment horizontal="center"/>
    </xf>
    <xf numFmtId="0" fontId="5" fillId="7" borderId="14"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4" xfId="0" applyFont="1" applyFill="1" applyBorder="1" applyAlignment="1">
      <alignment horizontal="left" vertical="center" wrapText="1"/>
    </xf>
    <xf numFmtId="2" fontId="5" fillId="3" borderId="11" xfId="0" applyNumberFormat="1" applyFont="1" applyFill="1" applyBorder="1" applyAlignment="1">
      <alignment horizontal="center" vertical="center"/>
    </xf>
    <xf numFmtId="2" fontId="5" fillId="3" borderId="12"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5" fillId="4" borderId="4" xfId="0" applyFont="1" applyFill="1" applyBorder="1" applyAlignment="1">
      <alignment horizontal="left" vertical="center" wrapText="1"/>
    </xf>
    <xf numFmtId="0" fontId="5" fillId="4" borderId="4" xfId="0" applyFont="1" applyFill="1" applyBorder="1" applyAlignment="1">
      <alignment horizontal="left"/>
    </xf>
    <xf numFmtId="0" fontId="5" fillId="4" borderId="19" xfId="0" applyFont="1" applyFill="1" applyBorder="1" applyAlignment="1">
      <alignment horizontal="left"/>
    </xf>
    <xf numFmtId="0" fontId="5" fillId="4" borderId="20" xfId="0" applyFont="1" applyFill="1" applyBorder="1" applyAlignment="1">
      <alignment horizontal="left"/>
    </xf>
    <xf numFmtId="0" fontId="5" fillId="4" borderId="21" xfId="0" applyFont="1" applyFill="1" applyBorder="1" applyAlignment="1">
      <alignment horizontal="left"/>
    </xf>
    <xf numFmtId="0" fontId="5" fillId="2" borderId="31" xfId="0" applyFont="1" applyFill="1" applyBorder="1" applyAlignment="1">
      <alignment horizontal="center" vertical="center"/>
    </xf>
    <xf numFmtId="0" fontId="5" fillId="2" borderId="48" xfId="0" applyFont="1" applyFill="1" applyBorder="1" applyAlignment="1">
      <alignment horizontal="center" vertical="center"/>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4" xfId="0" applyFont="1" applyFill="1" applyBorder="1" applyAlignment="1">
      <alignment horizontal="left" vertical="center" wrapText="1"/>
    </xf>
    <xf numFmtId="171" fontId="6" fillId="5" borderId="7" xfId="0" applyNumberFormat="1" applyFont="1" applyFill="1" applyBorder="1" applyAlignment="1">
      <alignment horizontal="center" vertical="center" wrapText="1"/>
    </xf>
    <xf numFmtId="171" fontId="6" fillId="5" borderId="44" xfId="0" applyNumberFormat="1" applyFont="1" applyFill="1" applyBorder="1" applyAlignment="1">
      <alignment horizontal="center" vertical="center" wrapText="1"/>
    </xf>
    <xf numFmtId="171" fontId="6" fillId="5" borderId="9" xfId="0" applyNumberFormat="1" applyFont="1" applyFill="1" applyBorder="1" applyAlignment="1">
      <alignment horizontal="center" vertical="center" wrapText="1"/>
    </xf>
    <xf numFmtId="165" fontId="6" fillId="5" borderId="7" xfId="1" applyNumberFormat="1" applyFont="1" applyFill="1" applyBorder="1" applyAlignment="1" applyProtection="1">
      <alignment horizontal="center" vertical="center"/>
    </xf>
    <xf numFmtId="165" fontId="6" fillId="5" borderId="44" xfId="1" applyNumberFormat="1" applyFont="1" applyFill="1" applyBorder="1" applyAlignment="1" applyProtection="1">
      <alignment horizontal="center" vertical="center"/>
    </xf>
    <xf numFmtId="165" fontId="6" fillId="5" borderId="9" xfId="1" applyNumberFormat="1" applyFont="1" applyFill="1" applyBorder="1" applyAlignment="1" applyProtection="1">
      <alignment horizontal="center" vertical="center"/>
    </xf>
    <xf numFmtId="166" fontId="6" fillId="5" borderId="7" xfId="1" applyNumberFormat="1" applyFont="1" applyFill="1" applyBorder="1" applyAlignment="1" applyProtection="1">
      <alignment horizontal="center" vertical="center"/>
    </xf>
    <xf numFmtId="166" fontId="6" fillId="5" borderId="44" xfId="1" applyNumberFormat="1" applyFont="1" applyFill="1" applyBorder="1" applyAlignment="1" applyProtection="1">
      <alignment horizontal="center" vertical="center"/>
    </xf>
    <xf numFmtId="166" fontId="6" fillId="5" borderId="9" xfId="1" applyNumberFormat="1" applyFont="1" applyFill="1" applyBorder="1" applyAlignment="1" applyProtection="1">
      <alignment horizontal="center" vertical="center"/>
    </xf>
    <xf numFmtId="9" fontId="6" fillId="5" borderId="7" xfId="2" applyFont="1" applyFill="1" applyBorder="1" applyAlignment="1" applyProtection="1">
      <alignment horizontal="center" vertical="center"/>
    </xf>
    <xf numFmtId="9" fontId="6" fillId="5" borderId="44" xfId="2" applyFont="1" applyFill="1" applyBorder="1" applyAlignment="1" applyProtection="1">
      <alignment horizontal="center" vertical="center"/>
    </xf>
    <xf numFmtId="9" fontId="6" fillId="5" borderId="9" xfId="2" applyFont="1" applyFill="1" applyBorder="1" applyAlignment="1" applyProtection="1">
      <alignment horizontal="center" vertical="center"/>
    </xf>
    <xf numFmtId="0" fontId="5" fillId="5" borderId="7" xfId="0" applyNumberFormat="1" applyFont="1" applyFill="1" applyBorder="1" applyAlignment="1">
      <alignment horizontal="center" vertical="center" wrapText="1"/>
    </xf>
    <xf numFmtId="0" fontId="5" fillId="5" borderId="44" xfId="0" applyNumberFormat="1" applyFont="1" applyFill="1" applyBorder="1" applyAlignment="1">
      <alignment horizontal="center" vertical="center" wrapText="1"/>
    </xf>
    <xf numFmtId="0" fontId="5" fillId="5" borderId="9"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9" xfId="0" applyFont="1" applyFill="1" applyBorder="1" applyAlignment="1">
      <alignment horizontal="center" vertical="center" wrapText="1"/>
    </xf>
    <xf numFmtId="167" fontId="5" fillId="5" borderId="8" xfId="0" applyNumberFormat="1" applyFont="1" applyFill="1" applyBorder="1" applyAlignment="1">
      <alignment horizontal="center" vertical="center" wrapText="1"/>
    </xf>
    <xf numFmtId="167" fontId="5" fillId="5" borderId="45" xfId="0" applyNumberFormat="1" applyFont="1" applyFill="1" applyBorder="1" applyAlignment="1">
      <alignment horizontal="center" vertical="center" wrapText="1"/>
    </xf>
    <xf numFmtId="167" fontId="5" fillId="5" borderId="10" xfId="0" applyNumberFormat="1" applyFont="1" applyFill="1" applyBorder="1" applyAlignment="1">
      <alignment horizontal="center" vertical="center" wrapText="1"/>
    </xf>
    <xf numFmtId="0" fontId="6" fillId="5" borderId="7" xfId="0" applyNumberFormat="1" applyFont="1" applyFill="1" applyBorder="1" applyAlignment="1">
      <alignment horizontal="center" vertical="center" wrapText="1"/>
    </xf>
    <xf numFmtId="0" fontId="6" fillId="5" borderId="44" xfId="0" applyNumberFormat="1" applyFont="1" applyFill="1" applyBorder="1" applyAlignment="1">
      <alignment horizontal="center" vertical="center" wrapText="1"/>
    </xf>
    <xf numFmtId="0" fontId="6" fillId="5" borderId="9" xfId="0" applyNumberFormat="1" applyFont="1" applyFill="1" applyBorder="1" applyAlignment="1">
      <alignment horizontal="center" vertical="center" wrapText="1"/>
    </xf>
    <xf numFmtId="0" fontId="5" fillId="5" borderId="4" xfId="0" applyFont="1" applyFill="1" applyBorder="1" applyAlignment="1">
      <alignment horizontal="left"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 xfId="0" applyFont="1" applyFill="1" applyBorder="1" applyAlignment="1">
      <alignment horizontal="center" vertical="center"/>
    </xf>
    <xf numFmtId="0" fontId="48" fillId="7" borderId="14" xfId="0" applyFont="1" applyFill="1" applyBorder="1" applyAlignment="1">
      <alignment horizontal="left" vertical="center" wrapText="1"/>
    </xf>
    <xf numFmtId="0" fontId="48" fillId="7" borderId="12" xfId="0" applyFont="1" applyFill="1" applyBorder="1" applyAlignment="1">
      <alignment horizontal="left" vertical="center" wrapText="1"/>
    </xf>
    <xf numFmtId="0" fontId="48" fillId="7" borderId="4" xfId="0" applyFont="1" applyFill="1" applyBorder="1" applyAlignment="1">
      <alignment horizontal="left" vertical="center" wrapText="1"/>
    </xf>
    <xf numFmtId="0" fontId="48" fillId="7" borderId="14" xfId="0" applyFont="1" applyFill="1" applyBorder="1" applyAlignment="1">
      <alignment horizontal="left" vertical="center"/>
    </xf>
    <xf numFmtId="0" fontId="48" fillId="7" borderId="12" xfId="0" applyFont="1" applyFill="1" applyBorder="1" applyAlignment="1">
      <alignment horizontal="left" vertical="center"/>
    </xf>
    <xf numFmtId="0" fontId="48" fillId="7" borderId="4" xfId="0" applyFont="1" applyFill="1" applyBorder="1" applyAlignment="1">
      <alignment horizontal="left" vertical="center"/>
    </xf>
    <xf numFmtId="0" fontId="5" fillId="16" borderId="14" xfId="0" applyFont="1" applyFill="1" applyBorder="1" applyAlignment="1">
      <alignment horizontal="left"/>
    </xf>
    <xf numFmtId="0" fontId="5" fillId="16" borderId="12" xfId="0" applyFont="1" applyFill="1" applyBorder="1" applyAlignment="1">
      <alignment horizontal="left"/>
    </xf>
    <xf numFmtId="0" fontId="5" fillId="16" borderId="4" xfId="0" applyFont="1" applyFill="1" applyBorder="1" applyAlignment="1">
      <alignment horizontal="left"/>
    </xf>
    <xf numFmtId="0" fontId="6" fillId="7" borderId="11"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6" fillId="7" borderId="13" xfId="0" applyFont="1" applyFill="1" applyBorder="1" applyAlignment="1">
      <alignment horizontal="left" vertical="center" wrapText="1"/>
    </xf>
    <xf numFmtId="0" fontId="6" fillId="10" borderId="14" xfId="0" applyFont="1" applyFill="1" applyBorder="1" applyAlignment="1">
      <alignment horizontal="left" vertical="center"/>
    </xf>
    <xf numFmtId="0" fontId="6" fillId="10" borderId="12" xfId="0" applyFont="1" applyFill="1" applyBorder="1" applyAlignment="1">
      <alignment horizontal="left" vertical="center"/>
    </xf>
    <xf numFmtId="0" fontId="6" fillId="10" borderId="13" xfId="0" applyFont="1" applyFill="1" applyBorder="1" applyAlignment="1">
      <alignment horizontal="left" vertical="center"/>
    </xf>
    <xf numFmtId="0" fontId="5" fillId="8" borderId="11"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1" xfId="0" applyFont="1" applyFill="1" applyBorder="1" applyAlignment="1">
      <alignment horizontal="center" vertical="center"/>
    </xf>
    <xf numFmtId="0" fontId="5" fillId="8" borderId="52" xfId="0" applyFont="1" applyFill="1" applyBorder="1" applyAlignment="1">
      <alignment horizontal="center" vertical="center"/>
    </xf>
    <xf numFmtId="0" fontId="6" fillId="10" borderId="11" xfId="0" applyFont="1" applyFill="1" applyBorder="1" applyAlignment="1">
      <alignment horizontal="left" vertical="center" wrapText="1"/>
    </xf>
    <xf numFmtId="0" fontId="6" fillId="10" borderId="12"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5" fillId="8" borderId="11"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5" fillId="10" borderId="14"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10" borderId="13" xfId="0" applyFont="1" applyFill="1" applyBorder="1" applyAlignment="1">
      <alignment horizontal="left" vertical="center" wrapText="1"/>
    </xf>
    <xf numFmtId="0" fontId="5" fillId="4" borderId="4" xfId="0" applyFont="1" applyFill="1" applyBorder="1" applyAlignment="1">
      <alignment horizontal="left"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168" fontId="3" fillId="0" borderId="7" xfId="1" applyNumberFormat="1" applyFont="1" applyBorder="1" applyAlignment="1">
      <alignment horizontal="center" vertical="center"/>
    </xf>
    <xf numFmtId="168" fontId="3" fillId="0" borderId="9" xfId="1" applyNumberFormat="1" applyFont="1" applyBorder="1" applyAlignment="1">
      <alignment horizontal="center" vertical="center"/>
    </xf>
    <xf numFmtId="9" fontId="22" fillId="22" borderId="8" xfId="2" applyFont="1" applyFill="1" applyBorder="1" applyAlignment="1">
      <alignment horizontal="center" vertical="center"/>
    </xf>
    <xf numFmtId="9" fontId="22" fillId="22" borderId="10" xfId="2" applyFont="1" applyFill="1" applyBorder="1" applyAlignment="1">
      <alignment horizontal="center" vertical="center"/>
    </xf>
    <xf numFmtId="165" fontId="22" fillId="0" borderId="7" xfId="1" applyNumberFormat="1" applyFont="1" applyBorder="1" applyAlignment="1">
      <alignment horizontal="center" vertical="center"/>
    </xf>
    <xf numFmtId="165" fontId="22" fillId="0" borderId="9" xfId="1" applyNumberFormat="1" applyFont="1" applyBorder="1" applyAlignment="1">
      <alignment horizontal="center" vertical="center"/>
    </xf>
    <xf numFmtId="9" fontId="22" fillId="0" borderId="8" xfId="2" applyFont="1" applyBorder="1" applyAlignment="1">
      <alignment horizontal="center" vertical="center"/>
    </xf>
    <xf numFmtId="9" fontId="22" fillId="0" borderId="10" xfId="2" applyFont="1" applyBorder="1" applyAlignment="1">
      <alignment horizontal="center"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166" fontId="2" fillId="0" borderId="7"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168" fontId="2" fillId="0" borderId="7" xfId="1" applyNumberFormat="1" applyFont="1" applyBorder="1" applyAlignment="1">
      <alignment horizontal="center" vertical="center" wrapText="1"/>
    </xf>
    <xf numFmtId="168" fontId="2" fillId="0" borderId="9" xfId="1" applyNumberFormat="1" applyFont="1" applyBorder="1" applyAlignment="1">
      <alignment horizontal="center" vertical="center" wrapText="1"/>
    </xf>
    <xf numFmtId="168" fontId="2" fillId="0" borderId="14" xfId="1" applyNumberFormat="1" applyFont="1" applyBorder="1" applyAlignment="1">
      <alignment horizontal="center" vertical="center" wrapText="1"/>
    </xf>
    <xf numFmtId="168" fontId="2" fillId="0" borderId="12" xfId="1" applyNumberFormat="1" applyFont="1" applyBorder="1" applyAlignment="1">
      <alignment horizontal="center" vertical="center" wrapText="1"/>
    </xf>
    <xf numFmtId="168" fontId="2" fillId="0" borderId="4" xfId="1" applyNumberFormat="1" applyFont="1" applyBorder="1" applyAlignment="1">
      <alignment horizontal="center" vertical="center" wrapText="1"/>
    </xf>
    <xf numFmtId="165" fontId="2" fillId="0" borderId="7" xfId="1" applyNumberFormat="1" applyFont="1" applyBorder="1" applyAlignment="1">
      <alignment horizontal="center" vertical="center" wrapText="1"/>
    </xf>
    <xf numFmtId="165" fontId="2" fillId="0" borderId="9" xfId="1" applyNumberFormat="1" applyFont="1" applyBorder="1" applyAlignment="1">
      <alignment horizontal="center" vertical="center" wrapText="1"/>
    </xf>
    <xf numFmtId="0" fontId="3" fillId="10" borderId="11"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2" fillId="8" borderId="11"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8" fontId="3" fillId="0" borderId="2" xfId="1" applyNumberFormat="1" applyFont="1" applyBorder="1" applyAlignment="1">
      <alignment horizontal="center" vertical="center"/>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22" fillId="22" borderId="1" xfId="0" applyNumberFormat="1" applyFont="1" applyFill="1" applyBorder="1" applyAlignment="1" applyProtection="1">
      <alignment horizontal="center" vertical="center" wrapText="1"/>
    </xf>
    <xf numFmtId="0" fontId="22" fillId="22" borderId="2"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2" fillId="8"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20" borderId="1" xfId="0" applyFont="1" applyFill="1" applyBorder="1" applyAlignment="1">
      <alignment horizontal="center" vertical="center"/>
    </xf>
    <xf numFmtId="0" fontId="2" fillId="20" borderId="2" xfId="0" applyFont="1" applyFill="1" applyBorder="1" applyAlignment="1">
      <alignment horizontal="center" vertical="center"/>
    </xf>
    <xf numFmtId="0" fontId="2" fillId="20" borderId="3" xfId="0" applyFont="1" applyFill="1" applyBorder="1" applyAlignment="1">
      <alignment horizontal="center" vertical="center"/>
    </xf>
    <xf numFmtId="0" fontId="2" fillId="4" borderId="1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16" borderId="14"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4"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5" borderId="12"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30" fillId="2" borderId="33"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35" xfId="0" applyFont="1" applyFill="1" applyBorder="1" applyAlignment="1">
      <alignment horizontal="center" vertical="center"/>
    </xf>
    <xf numFmtId="2" fontId="2" fillId="3" borderId="11" xfId="0" applyNumberFormat="1" applyFont="1" applyFill="1" applyBorder="1" applyAlignment="1">
      <alignment horizontal="center" vertical="center"/>
    </xf>
    <xf numFmtId="2" fontId="2" fillId="3" borderId="12" xfId="0" applyNumberFormat="1" applyFont="1" applyFill="1" applyBorder="1" applyAlignment="1">
      <alignment horizontal="center" vertical="center"/>
    </xf>
    <xf numFmtId="2" fontId="2" fillId="3" borderId="13" xfId="0" applyNumberFormat="1" applyFont="1" applyFill="1" applyBorder="1" applyAlignment="1">
      <alignment horizontal="center" vertical="center"/>
    </xf>
    <xf numFmtId="0" fontId="2" fillId="7" borderId="14"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9" fillId="5" borderId="7"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 fillId="15" borderId="11"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2" fillId="15" borderId="13" xfId="0" applyFont="1" applyFill="1" applyBorder="1" applyAlignment="1">
      <alignment horizontal="left" vertical="center" wrapText="1"/>
    </xf>
    <xf numFmtId="0" fontId="2" fillId="15" borderId="14" xfId="0" applyFont="1" applyFill="1" applyBorder="1" applyAlignment="1">
      <alignment horizontal="left" vertical="center" wrapText="1"/>
    </xf>
    <xf numFmtId="0" fontId="2" fillId="15" borderId="4" xfId="0" applyFont="1" applyFill="1" applyBorder="1" applyAlignment="1">
      <alignment horizontal="left" vertical="center" wrapText="1"/>
    </xf>
    <xf numFmtId="171" fontId="3" fillId="5" borderId="15" xfId="0" applyNumberFormat="1" applyFont="1" applyFill="1" applyBorder="1" applyAlignment="1">
      <alignment horizontal="center" vertical="center" wrapText="1"/>
    </xf>
    <xf numFmtId="171" fontId="3" fillId="5" borderId="38" xfId="0" applyNumberFormat="1" applyFont="1" applyFill="1" applyBorder="1" applyAlignment="1">
      <alignment horizontal="center" vertical="center" wrapText="1"/>
    </xf>
    <xf numFmtId="171" fontId="3" fillId="5" borderId="19" xfId="0" applyNumberFormat="1" applyFont="1" applyFill="1" applyBorder="1" applyAlignment="1">
      <alignment horizontal="center" vertical="center" wrapText="1"/>
    </xf>
    <xf numFmtId="166" fontId="3" fillId="0" borderId="7" xfId="1" applyNumberFormat="1" applyFont="1" applyBorder="1" applyAlignment="1" applyProtection="1">
      <alignment horizontal="center" vertical="center"/>
    </xf>
    <xf numFmtId="166" fontId="3" fillId="0" borderId="44" xfId="1" applyNumberFormat="1" applyFont="1" applyBorder="1" applyAlignment="1" applyProtection="1">
      <alignment horizontal="center" vertical="center"/>
    </xf>
    <xf numFmtId="166" fontId="3" fillId="0" borderId="9" xfId="1" applyNumberFormat="1" applyFont="1" applyBorder="1" applyAlignment="1" applyProtection="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4" fillId="7" borderId="14"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14" xfId="0" applyFont="1" applyFill="1" applyBorder="1" applyAlignment="1">
      <alignment horizontal="left" vertical="center"/>
    </xf>
    <xf numFmtId="0" fontId="4" fillId="7" borderId="12" xfId="0" applyFont="1" applyFill="1" applyBorder="1" applyAlignment="1">
      <alignment horizontal="left" vertical="center"/>
    </xf>
    <xf numFmtId="0" fontId="4" fillId="7" borderId="4" xfId="0" applyFont="1" applyFill="1" applyBorder="1" applyAlignment="1">
      <alignment horizontal="left" vertical="center"/>
    </xf>
    <xf numFmtId="0" fontId="2" fillId="7" borderId="11"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10" borderId="14" xfId="0" applyFont="1" applyFill="1" applyBorder="1" applyAlignment="1">
      <alignment horizontal="left" vertical="center"/>
    </xf>
    <xf numFmtId="0" fontId="3" fillId="10" borderId="12" xfId="0" applyFont="1" applyFill="1" applyBorder="1" applyAlignment="1">
      <alignment horizontal="left" vertical="center"/>
    </xf>
    <xf numFmtId="0" fontId="3" fillId="10" borderId="13" xfId="0" applyFont="1" applyFill="1" applyBorder="1" applyAlignment="1">
      <alignment horizontal="left"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1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20"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51" xfId="0" applyFont="1" applyFill="1" applyBorder="1" applyAlignment="1">
      <alignment horizontal="center" vertical="center"/>
    </xf>
    <xf numFmtId="0" fontId="2" fillId="8" borderId="52"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165" fontId="22" fillId="22" borderId="7" xfId="1" applyNumberFormat="1" applyFont="1" applyFill="1" applyBorder="1" applyAlignment="1">
      <alignment horizontal="center" vertical="center"/>
    </xf>
    <xf numFmtId="165" fontId="22" fillId="22" borderId="9" xfId="1" applyNumberFormat="1" applyFont="1" applyFill="1" applyBorder="1" applyAlignment="1">
      <alignment horizontal="center" vertical="center"/>
    </xf>
    <xf numFmtId="168" fontId="33" fillId="0" borderId="7" xfId="0" applyNumberFormat="1" applyFont="1" applyBorder="1" applyAlignment="1">
      <alignment horizontal="center" vertical="center" wrapText="1"/>
    </xf>
    <xf numFmtId="168" fontId="33" fillId="0" borderId="9" xfId="0" applyNumberFormat="1" applyFont="1" applyBorder="1" applyAlignment="1">
      <alignment horizontal="center" vertical="center" wrapText="1"/>
    </xf>
    <xf numFmtId="0" fontId="32" fillId="3" borderId="28" xfId="0" applyFont="1" applyFill="1" applyBorder="1" applyAlignment="1">
      <alignment horizontal="center" vertical="center" wrapText="1"/>
    </xf>
    <xf numFmtId="0" fontId="32" fillId="3" borderId="29" xfId="0" applyFont="1" applyFill="1" applyBorder="1" applyAlignment="1">
      <alignment horizontal="center" vertical="center" wrapText="1"/>
    </xf>
    <xf numFmtId="0" fontId="32" fillId="3" borderId="30" xfId="0" applyFont="1" applyFill="1" applyBorder="1" applyAlignment="1">
      <alignment horizontal="center" vertical="center" wrapText="1"/>
    </xf>
    <xf numFmtId="168" fontId="22" fillId="5" borderId="7" xfId="0" applyNumberFormat="1" applyFont="1" applyFill="1" applyBorder="1" applyAlignment="1">
      <alignment horizontal="center" vertical="center" wrapText="1"/>
    </xf>
    <xf numFmtId="168" fontId="22" fillId="5" borderId="9" xfId="0" applyNumberFormat="1" applyFont="1" applyFill="1" applyBorder="1" applyAlignment="1">
      <alignment horizontal="center" vertical="center" wrapText="1"/>
    </xf>
    <xf numFmtId="165" fontId="22" fillId="22" borderId="44" xfId="1" applyNumberFormat="1" applyFont="1" applyFill="1" applyBorder="1" applyAlignment="1">
      <alignment horizontal="center" vertical="center"/>
    </xf>
    <xf numFmtId="165" fontId="22" fillId="0" borderId="44" xfId="1" applyNumberFormat="1" applyFont="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168" fontId="22" fillId="22" borderId="7" xfId="1" applyNumberFormat="1" applyFont="1" applyFill="1" applyBorder="1" applyAlignment="1" applyProtection="1">
      <alignment horizontal="center" vertical="center"/>
    </xf>
    <xf numFmtId="168" fontId="22" fillId="22" borderId="9" xfId="1" applyNumberFormat="1" applyFont="1" applyFill="1" applyBorder="1" applyAlignment="1" applyProtection="1">
      <alignment horizontal="center" vertical="center"/>
    </xf>
    <xf numFmtId="168" fontId="22" fillId="22" borderId="44" xfId="1" applyNumberFormat="1" applyFont="1" applyFill="1" applyBorder="1" applyAlignment="1" applyProtection="1">
      <alignment horizontal="center" vertical="center"/>
    </xf>
    <xf numFmtId="168" fontId="22" fillId="0" borderId="7" xfId="1" applyNumberFormat="1" applyFont="1" applyBorder="1" applyAlignment="1" applyProtection="1">
      <alignment horizontal="center" vertical="center"/>
    </xf>
    <xf numFmtId="168" fontId="22" fillId="0" borderId="44" xfId="1" applyNumberFormat="1" applyFont="1" applyBorder="1" applyAlignment="1" applyProtection="1">
      <alignment horizontal="center" vertical="center"/>
    </xf>
    <xf numFmtId="168" fontId="22" fillId="0" borderId="9" xfId="1" applyNumberFormat="1" applyFont="1" applyBorder="1" applyAlignment="1" applyProtection="1">
      <alignment horizontal="center" vertical="center"/>
    </xf>
    <xf numFmtId="9" fontId="22" fillId="22" borderId="45" xfId="2" applyFont="1" applyFill="1" applyBorder="1" applyAlignment="1">
      <alignment horizontal="center" vertical="center"/>
    </xf>
    <xf numFmtId="9" fontId="22" fillId="0" borderId="45" xfId="2" applyFont="1" applyBorder="1" applyAlignment="1">
      <alignment horizontal="center" vertical="center"/>
    </xf>
    <xf numFmtId="0" fontId="13" fillId="5" borderId="7"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3" fillId="4" borderId="51" xfId="0" applyFont="1" applyFill="1" applyBorder="1" applyAlignment="1">
      <alignment horizontal="center" vertical="center"/>
    </xf>
    <xf numFmtId="0" fontId="3" fillId="4" borderId="52"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8" xfId="0" applyFont="1" applyFill="1" applyBorder="1" applyAlignment="1">
      <alignment horizontal="center" wrapText="1"/>
    </xf>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0" fontId="2" fillId="3" borderId="53"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54"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14" xfId="0" applyFont="1" applyFill="1" applyBorder="1" applyAlignment="1">
      <alignment horizontal="left" wrapText="1"/>
    </xf>
    <xf numFmtId="0" fontId="2" fillId="4" borderId="12" xfId="0" applyFont="1" applyFill="1" applyBorder="1" applyAlignment="1">
      <alignment horizontal="left" wrapText="1"/>
    </xf>
    <xf numFmtId="0" fontId="2" fillId="4" borderId="13" xfId="0" applyFont="1" applyFill="1" applyBorder="1" applyAlignment="1">
      <alignment horizontal="left" wrapText="1"/>
    </xf>
    <xf numFmtId="0" fontId="2" fillId="4" borderId="14" xfId="0" applyFont="1" applyFill="1" applyBorder="1" applyAlignment="1">
      <alignment horizontal="left"/>
    </xf>
    <xf numFmtId="0" fontId="2" fillId="4" borderId="12" xfId="0" applyFont="1" applyFill="1" applyBorder="1" applyAlignment="1">
      <alignment horizontal="left"/>
    </xf>
    <xf numFmtId="0" fontId="2" fillId="4" borderId="13" xfId="0" applyFont="1" applyFill="1" applyBorder="1" applyAlignment="1">
      <alignment horizontal="left"/>
    </xf>
    <xf numFmtId="0" fontId="2" fillId="10" borderId="14"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2" fillId="10" borderId="13" xfId="0" applyFont="1" applyFill="1" applyBorder="1" applyAlignment="1">
      <alignment horizontal="left" vertical="center" wrapText="1"/>
    </xf>
    <xf numFmtId="0" fontId="2" fillId="4" borderId="11"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16" borderId="14" xfId="0" applyFont="1" applyFill="1" applyBorder="1" applyAlignment="1">
      <alignment horizontal="left"/>
    </xf>
    <xf numFmtId="0" fontId="2" fillId="16" borderId="12" xfId="0" applyFont="1" applyFill="1" applyBorder="1" applyAlignment="1">
      <alignment horizontal="left"/>
    </xf>
    <xf numFmtId="0" fontId="2" fillId="16" borderId="4" xfId="0" applyFont="1" applyFill="1" applyBorder="1" applyAlignment="1">
      <alignment horizontal="left"/>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48" xfId="0" applyFont="1" applyFill="1" applyBorder="1" applyAlignment="1">
      <alignment horizontal="center" vertical="center"/>
    </xf>
    <xf numFmtId="0" fontId="2" fillId="4" borderId="19" xfId="0" applyFont="1" applyFill="1" applyBorder="1" applyAlignment="1">
      <alignment horizontal="left"/>
    </xf>
    <xf numFmtId="0" fontId="2" fillId="4" borderId="20" xfId="0" applyFont="1" applyFill="1" applyBorder="1" applyAlignment="1">
      <alignment horizontal="left"/>
    </xf>
    <xf numFmtId="0" fontId="2" fillId="4" borderId="21" xfId="0" applyFont="1" applyFill="1" applyBorder="1" applyAlignment="1">
      <alignment horizontal="left"/>
    </xf>
    <xf numFmtId="2" fontId="32" fillId="3" borderId="11" xfId="0" applyNumberFormat="1" applyFont="1" applyFill="1" applyBorder="1" applyAlignment="1">
      <alignment horizontal="center" vertical="center"/>
    </xf>
    <xf numFmtId="2" fontId="32" fillId="3" borderId="12" xfId="0" applyNumberFormat="1" applyFont="1" applyFill="1" applyBorder="1" applyAlignment="1">
      <alignment horizontal="center" vertical="center"/>
    </xf>
    <xf numFmtId="2" fontId="32" fillId="3" borderId="13" xfId="0" applyNumberFormat="1" applyFont="1" applyFill="1" applyBorder="1" applyAlignment="1">
      <alignment horizontal="center" vertical="center"/>
    </xf>
    <xf numFmtId="2" fontId="2" fillId="3" borderId="11" xfId="0" applyNumberFormat="1" applyFont="1" applyFill="1" applyBorder="1" applyAlignment="1">
      <alignment horizontal="center"/>
    </xf>
    <xf numFmtId="2" fontId="2" fillId="3" borderId="12" xfId="0" applyNumberFormat="1" applyFont="1" applyFill="1" applyBorder="1" applyAlignment="1">
      <alignment horizontal="center"/>
    </xf>
    <xf numFmtId="2" fontId="2" fillId="3" borderId="13" xfId="0" applyNumberFormat="1" applyFont="1" applyFill="1" applyBorder="1" applyAlignment="1">
      <alignment horizontal="center"/>
    </xf>
    <xf numFmtId="0" fontId="2" fillId="4" borderId="4"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18" fillId="7" borderId="12"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2" fillId="4" borderId="4" xfId="0" applyFont="1" applyFill="1" applyBorder="1" applyAlignment="1">
      <alignment horizontal="left"/>
    </xf>
  </cellXfs>
  <cellStyles count="8">
    <cellStyle name="Moneda" xfId="1" builtinId="4"/>
    <cellStyle name="Moneda [0]" xfId="5" builtinId="7"/>
    <cellStyle name="Moneda [0] 2" xfId="7"/>
    <cellStyle name="Moneda 2" xfId="6"/>
    <cellStyle name="Normal" xfId="0" builtinId="0"/>
    <cellStyle name="Normal 2" xfId="3"/>
    <cellStyle name="Normal 4"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1990725</xdr:rowOff>
    </xdr:from>
    <xdr:to>
      <xdr:col>0</xdr:col>
      <xdr:colOff>57150</xdr:colOff>
      <xdr:row>47</xdr:row>
      <xdr:rowOff>77133</xdr:rowOff>
    </xdr:to>
    <xdr:sp macro="" textlink="">
      <xdr:nvSpPr>
        <xdr:cNvPr id="2" name="Text Box 394360"/>
        <xdr:cNvSpPr txBox="1">
          <a:spLocks noChangeArrowheads="1"/>
        </xdr:cNvSpPr>
      </xdr:nvSpPr>
      <xdr:spPr bwMode="auto">
        <a:xfrm>
          <a:off x="0" y="202311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1990725</xdr:rowOff>
    </xdr:from>
    <xdr:to>
      <xdr:col>0</xdr:col>
      <xdr:colOff>57150</xdr:colOff>
      <xdr:row>47</xdr:row>
      <xdr:rowOff>77133</xdr:rowOff>
    </xdr:to>
    <xdr:sp macro="" textlink="">
      <xdr:nvSpPr>
        <xdr:cNvPr id="3" name="Text Box 394744"/>
        <xdr:cNvSpPr txBox="1">
          <a:spLocks noChangeArrowheads="1"/>
        </xdr:cNvSpPr>
      </xdr:nvSpPr>
      <xdr:spPr bwMode="auto">
        <a:xfrm>
          <a:off x="0" y="202311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1990725</xdr:rowOff>
    </xdr:from>
    <xdr:to>
      <xdr:col>0</xdr:col>
      <xdr:colOff>57150</xdr:colOff>
      <xdr:row>47</xdr:row>
      <xdr:rowOff>77133</xdr:rowOff>
    </xdr:to>
    <xdr:sp macro="" textlink="">
      <xdr:nvSpPr>
        <xdr:cNvPr id="4" name="Text Box 394360"/>
        <xdr:cNvSpPr txBox="1">
          <a:spLocks noChangeArrowheads="1"/>
        </xdr:cNvSpPr>
      </xdr:nvSpPr>
      <xdr:spPr bwMode="auto">
        <a:xfrm>
          <a:off x="0" y="202311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1990725</xdr:rowOff>
    </xdr:from>
    <xdr:to>
      <xdr:col>0</xdr:col>
      <xdr:colOff>57150</xdr:colOff>
      <xdr:row>47</xdr:row>
      <xdr:rowOff>77133</xdr:rowOff>
    </xdr:to>
    <xdr:sp macro="" textlink="">
      <xdr:nvSpPr>
        <xdr:cNvPr id="5" name="Text Box 394744"/>
        <xdr:cNvSpPr txBox="1">
          <a:spLocks noChangeArrowheads="1"/>
        </xdr:cNvSpPr>
      </xdr:nvSpPr>
      <xdr:spPr bwMode="auto">
        <a:xfrm>
          <a:off x="0" y="202311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1990725</xdr:rowOff>
    </xdr:from>
    <xdr:to>
      <xdr:col>0</xdr:col>
      <xdr:colOff>57150</xdr:colOff>
      <xdr:row>47</xdr:row>
      <xdr:rowOff>77133</xdr:rowOff>
    </xdr:to>
    <xdr:sp macro="" textlink="">
      <xdr:nvSpPr>
        <xdr:cNvPr id="6" name="Text Box 394360"/>
        <xdr:cNvSpPr txBox="1">
          <a:spLocks noChangeArrowheads="1"/>
        </xdr:cNvSpPr>
      </xdr:nvSpPr>
      <xdr:spPr bwMode="auto">
        <a:xfrm>
          <a:off x="0" y="202311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1990725</xdr:rowOff>
    </xdr:from>
    <xdr:to>
      <xdr:col>0</xdr:col>
      <xdr:colOff>57150</xdr:colOff>
      <xdr:row>47</xdr:row>
      <xdr:rowOff>77133</xdr:rowOff>
    </xdr:to>
    <xdr:sp macro="" textlink="">
      <xdr:nvSpPr>
        <xdr:cNvPr id="7" name="Text Box 394744"/>
        <xdr:cNvSpPr txBox="1">
          <a:spLocks noChangeArrowheads="1"/>
        </xdr:cNvSpPr>
      </xdr:nvSpPr>
      <xdr:spPr bwMode="auto">
        <a:xfrm>
          <a:off x="0" y="202311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 name="Text Box 39434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 name="Text Box 39434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 name="Text Box 39434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 name="Text Box 39434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 name="Text Box 39434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3" name="Text Box 39435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4" name="Text Box 39435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5" name="Text Box 39435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6" name="Text Box 39435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7" name="Text Box 39435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8" name="Text Box 39435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9" name="Text Box 39435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0" name="Text Box 39435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1" name="Text Box 39435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2" name="Text Box 39435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3" name="Text Box 39472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4" name="Text Box 39473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5" name="Text Box 39473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6" name="Text Box 39473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7" name="Text Box 39473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8" name="Text Box 39473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29" name="Text Box 39473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0" name="Text Box 39473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1" name="Text Box 39473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2" name="Text Box 39473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3" name="Text Box 39473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4" name="Text Box 39474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5" name="Text Box 39474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6" name="Text Box 39474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7" name="Text Box 39474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8" name="Text Box 39434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39" name="Text Box 39434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0" name="Text Box 39434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1" name="Text Box 39434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2" name="Text Box 39434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3" name="Text Box 39435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4" name="Text Box 39435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5" name="Text Box 39435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6" name="Text Box 39435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7" name="Text Box 39435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8" name="Text Box 39435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49" name="Text Box 39435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0" name="Text Box 39435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1" name="Text Box 39435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2" name="Text Box 39435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3" name="Text Box 39472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4" name="Text Box 39473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5" name="Text Box 39473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6" name="Text Box 39473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7" name="Text Box 39473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8" name="Text Box 39473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59" name="Text Box 39473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0" name="Text Box 39473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1" name="Text Box 39473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2" name="Text Box 39473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3" name="Text Box 39473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4" name="Text Box 39474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5" name="Text Box 39474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6" name="Text Box 39474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67" name="Text Box 39474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57150</xdr:colOff>
      <xdr:row>54</xdr:row>
      <xdr:rowOff>76200</xdr:rowOff>
    </xdr:to>
    <xdr:sp macro="" textlink="">
      <xdr:nvSpPr>
        <xdr:cNvPr id="68" name="Text Box 394360"/>
        <xdr:cNvSpPr txBox="1">
          <a:spLocks noChangeArrowheads="1"/>
        </xdr:cNvSpPr>
      </xdr:nvSpPr>
      <xdr:spPr bwMode="auto">
        <a:xfrm>
          <a:off x="0" y="2120265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57150</xdr:colOff>
      <xdr:row>54</xdr:row>
      <xdr:rowOff>76200</xdr:rowOff>
    </xdr:to>
    <xdr:sp macro="" textlink="">
      <xdr:nvSpPr>
        <xdr:cNvPr id="69" name="Text Box 394744"/>
        <xdr:cNvSpPr txBox="1">
          <a:spLocks noChangeArrowheads="1"/>
        </xdr:cNvSpPr>
      </xdr:nvSpPr>
      <xdr:spPr bwMode="auto">
        <a:xfrm>
          <a:off x="0" y="2120265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0" name="Text Box 39434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1" name="Text Box 39434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2" name="Text Box 39434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3" name="Text Box 39434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4" name="Text Box 39434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5" name="Text Box 39435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6" name="Text Box 39435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7" name="Text Box 39435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8" name="Text Box 39435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79" name="Text Box 39435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0" name="Text Box 39435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1" name="Text Box 39435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2" name="Text Box 39435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3" name="Text Box 39435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4" name="Text Box 39435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5" name="Text Box 39472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6" name="Text Box 39473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7" name="Text Box 39473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8" name="Text Box 39473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89" name="Text Box 39473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0" name="Text Box 39473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1" name="Text Box 39473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2" name="Text Box 39473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3" name="Text Box 39473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4" name="Text Box 39473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5" name="Text Box 39473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6" name="Text Box 39474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7" name="Text Box 39474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8" name="Text Box 39474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99" name="Text Box 39474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57150</xdr:colOff>
      <xdr:row>54</xdr:row>
      <xdr:rowOff>76200</xdr:rowOff>
    </xdr:to>
    <xdr:sp macro="" textlink="">
      <xdr:nvSpPr>
        <xdr:cNvPr id="100" name="Text Box 394360"/>
        <xdr:cNvSpPr txBox="1">
          <a:spLocks noChangeArrowheads="1"/>
        </xdr:cNvSpPr>
      </xdr:nvSpPr>
      <xdr:spPr bwMode="auto">
        <a:xfrm>
          <a:off x="0" y="2120265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57150</xdr:colOff>
      <xdr:row>54</xdr:row>
      <xdr:rowOff>76200</xdr:rowOff>
    </xdr:to>
    <xdr:sp macro="" textlink="">
      <xdr:nvSpPr>
        <xdr:cNvPr id="101" name="Text Box 394744"/>
        <xdr:cNvSpPr txBox="1">
          <a:spLocks noChangeArrowheads="1"/>
        </xdr:cNvSpPr>
      </xdr:nvSpPr>
      <xdr:spPr bwMode="auto">
        <a:xfrm>
          <a:off x="0" y="2120265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2" name="Text Box 39434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3" name="Text Box 39434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4" name="Text Box 39434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5" name="Text Box 39434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6" name="Text Box 39434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7" name="Text Box 39435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8" name="Text Box 39435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09" name="Text Box 39435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0" name="Text Box 39435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1" name="Text Box 39435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2" name="Text Box 39435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3" name="Text Box 39435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4" name="Text Box 39435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5" name="Text Box 39435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6" name="Text Box 39435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7" name="Text Box 39472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8" name="Text Box 39473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19" name="Text Box 39473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0" name="Text Box 39473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1" name="Text Box 39473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2" name="Text Box 394734"/>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3" name="Text Box 394735"/>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4" name="Text Box 394736"/>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5" name="Text Box 394737"/>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6" name="Text Box 394738"/>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7" name="Text Box 394739"/>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8" name="Text Box 394740"/>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29" name="Text Box 394741"/>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30" name="Text Box 394742"/>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54</xdr:row>
      <xdr:rowOff>38100</xdr:rowOff>
    </xdr:to>
    <xdr:sp macro="" textlink="">
      <xdr:nvSpPr>
        <xdr:cNvPr id="131" name="Text Box 394743"/>
        <xdr:cNvSpPr txBox="1">
          <a:spLocks noChangeArrowheads="1"/>
        </xdr:cNvSpPr>
      </xdr:nvSpPr>
      <xdr:spPr bwMode="auto">
        <a:xfrm>
          <a:off x="0" y="2120265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266700</xdr:colOff>
      <xdr:row>56</xdr:row>
      <xdr:rowOff>38100</xdr:rowOff>
    </xdr:to>
    <xdr:sp macro="" textlink="">
      <xdr:nvSpPr>
        <xdr:cNvPr id="132" name="Text Box 4"/>
        <xdr:cNvSpPr txBox="1">
          <a:spLocks noChangeArrowheads="1"/>
        </xdr:cNvSpPr>
      </xdr:nvSpPr>
      <xdr:spPr bwMode="auto">
        <a:xfrm>
          <a:off x="0" y="21688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266700</xdr:colOff>
      <xdr:row>56</xdr:row>
      <xdr:rowOff>38100</xdr:rowOff>
    </xdr:to>
    <xdr:sp macro="" textlink="">
      <xdr:nvSpPr>
        <xdr:cNvPr id="133" name="Text Box 4"/>
        <xdr:cNvSpPr txBox="1">
          <a:spLocks noChangeArrowheads="1"/>
        </xdr:cNvSpPr>
      </xdr:nvSpPr>
      <xdr:spPr bwMode="auto">
        <a:xfrm>
          <a:off x="0" y="21688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266700</xdr:colOff>
      <xdr:row>56</xdr:row>
      <xdr:rowOff>38100</xdr:rowOff>
    </xdr:to>
    <xdr:sp macro="" textlink="">
      <xdr:nvSpPr>
        <xdr:cNvPr id="134" name="Text Box 4"/>
        <xdr:cNvSpPr txBox="1">
          <a:spLocks noChangeArrowheads="1"/>
        </xdr:cNvSpPr>
      </xdr:nvSpPr>
      <xdr:spPr bwMode="auto">
        <a:xfrm>
          <a:off x="0" y="21688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266700</xdr:colOff>
      <xdr:row>56</xdr:row>
      <xdr:rowOff>38100</xdr:rowOff>
    </xdr:to>
    <xdr:sp macro="" textlink="">
      <xdr:nvSpPr>
        <xdr:cNvPr id="135" name="Text Box 4"/>
        <xdr:cNvSpPr txBox="1">
          <a:spLocks noChangeArrowheads="1"/>
        </xdr:cNvSpPr>
      </xdr:nvSpPr>
      <xdr:spPr bwMode="auto">
        <a:xfrm>
          <a:off x="0" y="21688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36"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37"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38"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39"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0"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1"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2"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3"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4"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5"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6"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7"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8"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49"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0"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1"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2"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3"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4"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5"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6"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7"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8"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59"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0"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1"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2"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3"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4"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5"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6"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7"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8"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69"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0"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1"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2"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3"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4"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5"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6"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7"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8"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79"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0"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1"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2"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3"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4"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5"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6"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7"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8"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89"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0"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1"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2"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3"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4"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5"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196" name="Text Box 394360"/>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197" name="Text Box 394744"/>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8"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199"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0"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1"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2"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3"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4"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5"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6"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7"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8"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09"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0"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1"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2"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3"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4"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5"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6"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7"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8"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19"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0"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1"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2"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3"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4"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5"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6"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27"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228" name="Text Box 394360"/>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229" name="Text Box 394744"/>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0"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1"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2"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3"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4"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5"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6"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7"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8"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39"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0"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1"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2"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3"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4"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5"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6"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7"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8"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49"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0"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1"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2"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3"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4"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5"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6"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7"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8"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59"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0"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1"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2"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3"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4"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5"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6"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7"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8"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69"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0"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1"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2"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3"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4"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5"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6"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7"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8"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79"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0"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1"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2"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3"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4"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5"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6"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7"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8"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89"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0"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1"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2"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3"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4"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5"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6"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7"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8"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299"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0"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1"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2"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3"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4"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5"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6"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7"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8"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09"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0"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1"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2"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3"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4"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5"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6"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7"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8"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19"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320" name="Text Box 394360"/>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321" name="Text Box 394744"/>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2"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3"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4"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5"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6"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7"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8"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29"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0"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1"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2"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3"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4"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5"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6"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7"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8"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39"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0"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1"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2"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3"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4"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5"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6"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7"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8"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49"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0"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1"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352" name="Text Box 394360"/>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57150</xdr:colOff>
      <xdr:row>56</xdr:row>
      <xdr:rowOff>76200</xdr:rowOff>
    </xdr:to>
    <xdr:sp macro="" textlink="">
      <xdr:nvSpPr>
        <xdr:cNvPr id="353" name="Text Box 394744"/>
        <xdr:cNvSpPr txBox="1">
          <a:spLocks noChangeArrowheads="1"/>
        </xdr:cNvSpPr>
      </xdr:nvSpPr>
      <xdr:spPr bwMode="auto">
        <a:xfrm>
          <a:off x="0" y="215265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4" name="Text Box 39434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5" name="Text Box 39434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6" name="Text Box 39434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7" name="Text Box 39434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8" name="Text Box 39434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59" name="Text Box 39435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0" name="Text Box 39435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1" name="Text Box 39435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2" name="Text Box 39435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3" name="Text Box 39435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4" name="Text Box 39435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5" name="Text Box 39435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6" name="Text Box 39435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7" name="Text Box 39435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8" name="Text Box 39435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69" name="Text Box 39472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0" name="Text Box 39473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1" name="Text Box 39473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2" name="Text Box 39473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3" name="Text Box 39473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4" name="Text Box 394734"/>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5" name="Text Box 394735"/>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6" name="Text Box 394736"/>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7" name="Text Box 394737"/>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8" name="Text Box 394738"/>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79" name="Text Box 394739"/>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80" name="Text Box 394740"/>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81" name="Text Box 394741"/>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82" name="Text Box 394742"/>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56</xdr:row>
      <xdr:rowOff>38100</xdr:rowOff>
    </xdr:to>
    <xdr:sp macro="" textlink="">
      <xdr:nvSpPr>
        <xdr:cNvPr id="383" name="Text Box 394743"/>
        <xdr:cNvSpPr txBox="1">
          <a:spLocks noChangeArrowheads="1"/>
        </xdr:cNvSpPr>
      </xdr:nvSpPr>
      <xdr:spPr bwMode="auto">
        <a:xfrm>
          <a:off x="0" y="215265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84"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85"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86"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87"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88"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89"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90"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91"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92"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93"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94"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395" name="Text Box 4"/>
        <xdr:cNvSpPr txBox="1">
          <a:spLocks noChangeArrowheads="1"/>
        </xdr:cNvSpPr>
      </xdr:nvSpPr>
      <xdr:spPr bwMode="auto">
        <a:xfrm>
          <a:off x="0" y="344805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396" name="Text Box 4"/>
        <xdr:cNvSpPr txBox="1">
          <a:spLocks noChangeArrowheads="1"/>
        </xdr:cNvSpPr>
      </xdr:nvSpPr>
      <xdr:spPr bwMode="auto">
        <a:xfrm>
          <a:off x="0" y="34480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397" name="Text Box 4"/>
        <xdr:cNvSpPr txBox="1">
          <a:spLocks noChangeArrowheads="1"/>
        </xdr:cNvSpPr>
      </xdr:nvSpPr>
      <xdr:spPr bwMode="auto">
        <a:xfrm>
          <a:off x="0" y="34480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398" name="Text Box 4"/>
        <xdr:cNvSpPr txBox="1">
          <a:spLocks noChangeArrowheads="1"/>
        </xdr:cNvSpPr>
      </xdr:nvSpPr>
      <xdr:spPr bwMode="auto">
        <a:xfrm>
          <a:off x="0" y="34480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399" name="Text Box 4"/>
        <xdr:cNvSpPr txBox="1">
          <a:spLocks noChangeArrowheads="1"/>
        </xdr:cNvSpPr>
      </xdr:nvSpPr>
      <xdr:spPr bwMode="auto">
        <a:xfrm>
          <a:off x="0" y="34480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0"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1"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2"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3"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4"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5"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6"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7"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8"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09"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10"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11"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12"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13"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14"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15"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16"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17"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18"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19"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47625</xdr:rowOff>
    </xdr:to>
    <xdr:sp macro="" textlink="">
      <xdr:nvSpPr>
        <xdr:cNvPr id="420" name="Text Box 4"/>
        <xdr:cNvSpPr txBox="1">
          <a:spLocks noChangeArrowheads="1"/>
        </xdr:cNvSpPr>
      </xdr:nvSpPr>
      <xdr:spPr bwMode="auto">
        <a:xfrm>
          <a:off x="0" y="341566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47625</xdr:rowOff>
    </xdr:to>
    <xdr:sp macro="" textlink="">
      <xdr:nvSpPr>
        <xdr:cNvPr id="421" name="Text Box 4"/>
        <xdr:cNvSpPr txBox="1">
          <a:spLocks noChangeArrowheads="1"/>
        </xdr:cNvSpPr>
      </xdr:nvSpPr>
      <xdr:spPr bwMode="auto">
        <a:xfrm>
          <a:off x="0" y="341566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22"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23"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47625</xdr:rowOff>
    </xdr:to>
    <xdr:sp macro="" textlink="">
      <xdr:nvSpPr>
        <xdr:cNvPr id="424" name="Text Box 4"/>
        <xdr:cNvSpPr txBox="1">
          <a:spLocks noChangeArrowheads="1"/>
        </xdr:cNvSpPr>
      </xdr:nvSpPr>
      <xdr:spPr bwMode="auto">
        <a:xfrm>
          <a:off x="0" y="341566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47625</xdr:rowOff>
    </xdr:to>
    <xdr:sp macro="" textlink="">
      <xdr:nvSpPr>
        <xdr:cNvPr id="425" name="Text Box 4"/>
        <xdr:cNvSpPr txBox="1">
          <a:spLocks noChangeArrowheads="1"/>
        </xdr:cNvSpPr>
      </xdr:nvSpPr>
      <xdr:spPr bwMode="auto">
        <a:xfrm>
          <a:off x="0" y="341566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26"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27"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28"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29"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0"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1"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2"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3"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4"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5"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6"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7"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8"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39" name="Text Box 4"/>
        <xdr:cNvSpPr txBox="1">
          <a:spLocks noChangeArrowheads="1"/>
        </xdr:cNvSpPr>
      </xdr:nvSpPr>
      <xdr:spPr bwMode="auto">
        <a:xfrm>
          <a:off x="0" y="341566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40"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41"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42"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43" name="Text Box 4"/>
        <xdr:cNvSpPr txBox="1">
          <a:spLocks noChangeArrowheads="1"/>
        </xdr:cNvSpPr>
      </xdr:nvSpPr>
      <xdr:spPr bwMode="auto">
        <a:xfrm>
          <a:off x="0" y="341566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44"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45"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46"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47"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47625</xdr:rowOff>
    </xdr:to>
    <xdr:sp macro="" textlink="">
      <xdr:nvSpPr>
        <xdr:cNvPr id="448" name="Text Box 4"/>
        <xdr:cNvSpPr txBox="1">
          <a:spLocks noChangeArrowheads="1"/>
        </xdr:cNvSpPr>
      </xdr:nvSpPr>
      <xdr:spPr bwMode="auto">
        <a:xfrm>
          <a:off x="0" y="339947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47625</xdr:rowOff>
    </xdr:to>
    <xdr:sp macro="" textlink="">
      <xdr:nvSpPr>
        <xdr:cNvPr id="449" name="Text Box 4"/>
        <xdr:cNvSpPr txBox="1">
          <a:spLocks noChangeArrowheads="1"/>
        </xdr:cNvSpPr>
      </xdr:nvSpPr>
      <xdr:spPr bwMode="auto">
        <a:xfrm>
          <a:off x="0" y="339947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50"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51"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47625</xdr:rowOff>
    </xdr:to>
    <xdr:sp macro="" textlink="">
      <xdr:nvSpPr>
        <xdr:cNvPr id="452" name="Text Box 4"/>
        <xdr:cNvSpPr txBox="1">
          <a:spLocks noChangeArrowheads="1"/>
        </xdr:cNvSpPr>
      </xdr:nvSpPr>
      <xdr:spPr bwMode="auto">
        <a:xfrm>
          <a:off x="0" y="339947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47625</xdr:rowOff>
    </xdr:to>
    <xdr:sp macro="" textlink="">
      <xdr:nvSpPr>
        <xdr:cNvPr id="453" name="Text Box 4"/>
        <xdr:cNvSpPr txBox="1">
          <a:spLocks noChangeArrowheads="1"/>
        </xdr:cNvSpPr>
      </xdr:nvSpPr>
      <xdr:spPr bwMode="auto">
        <a:xfrm>
          <a:off x="0" y="339947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54"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55"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56"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57"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58"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59"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0"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1"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2"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3"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4"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5"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6"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66675</xdr:colOff>
      <xdr:row>111</xdr:row>
      <xdr:rowOff>57150</xdr:rowOff>
    </xdr:to>
    <xdr:sp macro="" textlink="">
      <xdr:nvSpPr>
        <xdr:cNvPr id="467" name="Text Box 4"/>
        <xdr:cNvSpPr txBox="1">
          <a:spLocks noChangeArrowheads="1"/>
        </xdr:cNvSpPr>
      </xdr:nvSpPr>
      <xdr:spPr bwMode="auto">
        <a:xfrm>
          <a:off x="0" y="339947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68"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69"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70"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266700</xdr:colOff>
      <xdr:row>111</xdr:row>
      <xdr:rowOff>38100</xdr:rowOff>
    </xdr:to>
    <xdr:sp macro="" textlink="">
      <xdr:nvSpPr>
        <xdr:cNvPr id="471" name="Text Box 4"/>
        <xdr:cNvSpPr txBox="1">
          <a:spLocks noChangeArrowheads="1"/>
        </xdr:cNvSpPr>
      </xdr:nvSpPr>
      <xdr:spPr bwMode="auto">
        <a:xfrm>
          <a:off x="0" y="339947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2"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3"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4"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5"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6"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7"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8"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79"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80"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81"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82"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66675</xdr:colOff>
      <xdr:row>112</xdr:row>
      <xdr:rowOff>57150</xdr:rowOff>
    </xdr:to>
    <xdr:sp macro="" textlink="">
      <xdr:nvSpPr>
        <xdr:cNvPr id="483" name="Text Box 4"/>
        <xdr:cNvSpPr txBox="1">
          <a:spLocks noChangeArrowheads="1"/>
        </xdr:cNvSpPr>
      </xdr:nvSpPr>
      <xdr:spPr bwMode="auto">
        <a:xfrm>
          <a:off x="0" y="352901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84" name="Text Box 4"/>
        <xdr:cNvSpPr txBox="1">
          <a:spLocks noChangeArrowheads="1"/>
        </xdr:cNvSpPr>
      </xdr:nvSpPr>
      <xdr:spPr bwMode="auto">
        <a:xfrm>
          <a:off x="0" y="352901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85" name="Text Box 4"/>
        <xdr:cNvSpPr txBox="1">
          <a:spLocks noChangeArrowheads="1"/>
        </xdr:cNvSpPr>
      </xdr:nvSpPr>
      <xdr:spPr bwMode="auto">
        <a:xfrm>
          <a:off x="0" y="352901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86" name="Text Box 4"/>
        <xdr:cNvSpPr txBox="1">
          <a:spLocks noChangeArrowheads="1"/>
        </xdr:cNvSpPr>
      </xdr:nvSpPr>
      <xdr:spPr bwMode="auto">
        <a:xfrm>
          <a:off x="0" y="352901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112</xdr:row>
      <xdr:rowOff>0</xdr:rowOff>
    </xdr:from>
    <xdr:to>
      <xdr:col>0</xdr:col>
      <xdr:colOff>266700</xdr:colOff>
      <xdr:row>112</xdr:row>
      <xdr:rowOff>38100</xdr:rowOff>
    </xdr:to>
    <xdr:sp macro="" textlink="">
      <xdr:nvSpPr>
        <xdr:cNvPr id="487" name="Text Box 4"/>
        <xdr:cNvSpPr txBox="1">
          <a:spLocks noChangeArrowheads="1"/>
        </xdr:cNvSpPr>
      </xdr:nvSpPr>
      <xdr:spPr bwMode="auto">
        <a:xfrm>
          <a:off x="0" y="352901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88"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89"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0"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1"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2"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3"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4"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5"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6"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7"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8"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66675</xdr:colOff>
      <xdr:row>262</xdr:row>
      <xdr:rowOff>57150</xdr:rowOff>
    </xdr:to>
    <xdr:sp macro="" textlink="">
      <xdr:nvSpPr>
        <xdr:cNvPr id="499" name="Text Box 4"/>
        <xdr:cNvSpPr txBox="1">
          <a:spLocks noChangeArrowheads="1"/>
        </xdr:cNvSpPr>
      </xdr:nvSpPr>
      <xdr:spPr bwMode="auto">
        <a:xfrm>
          <a:off x="0" y="785431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266700</xdr:colOff>
      <xdr:row>262</xdr:row>
      <xdr:rowOff>38100</xdr:rowOff>
    </xdr:to>
    <xdr:sp macro="" textlink="">
      <xdr:nvSpPr>
        <xdr:cNvPr id="500" name="Text Box 4"/>
        <xdr:cNvSpPr txBox="1">
          <a:spLocks noChangeArrowheads="1"/>
        </xdr:cNvSpPr>
      </xdr:nvSpPr>
      <xdr:spPr bwMode="auto">
        <a:xfrm>
          <a:off x="0" y="785431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266700</xdr:colOff>
      <xdr:row>262</xdr:row>
      <xdr:rowOff>38100</xdr:rowOff>
    </xdr:to>
    <xdr:sp macro="" textlink="">
      <xdr:nvSpPr>
        <xdr:cNvPr id="501" name="Text Box 4"/>
        <xdr:cNvSpPr txBox="1">
          <a:spLocks noChangeArrowheads="1"/>
        </xdr:cNvSpPr>
      </xdr:nvSpPr>
      <xdr:spPr bwMode="auto">
        <a:xfrm>
          <a:off x="0" y="785431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266700</xdr:colOff>
      <xdr:row>262</xdr:row>
      <xdr:rowOff>38100</xdr:rowOff>
    </xdr:to>
    <xdr:sp macro="" textlink="">
      <xdr:nvSpPr>
        <xdr:cNvPr id="502" name="Text Box 4"/>
        <xdr:cNvSpPr txBox="1">
          <a:spLocks noChangeArrowheads="1"/>
        </xdr:cNvSpPr>
      </xdr:nvSpPr>
      <xdr:spPr bwMode="auto">
        <a:xfrm>
          <a:off x="0" y="785431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266700</xdr:colOff>
      <xdr:row>262</xdr:row>
      <xdr:rowOff>38100</xdr:rowOff>
    </xdr:to>
    <xdr:sp macro="" textlink="">
      <xdr:nvSpPr>
        <xdr:cNvPr id="503" name="Text Box 4"/>
        <xdr:cNvSpPr txBox="1">
          <a:spLocks noChangeArrowheads="1"/>
        </xdr:cNvSpPr>
      </xdr:nvSpPr>
      <xdr:spPr bwMode="auto">
        <a:xfrm>
          <a:off x="0" y="785431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271</xdr:row>
      <xdr:rowOff>0</xdr:rowOff>
    </xdr:from>
    <xdr:ext cx="66675" cy="57150"/>
    <xdr:sp macro="" textlink="">
      <xdr:nvSpPr>
        <xdr:cNvPr id="552"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3"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4"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5"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6"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7"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8"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59"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60"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61"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62"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66675" cy="57150"/>
    <xdr:sp macro="" textlink="">
      <xdr:nvSpPr>
        <xdr:cNvPr id="563" name="Text Box 4"/>
        <xdr:cNvSpPr txBox="1">
          <a:spLocks noChangeArrowheads="1"/>
        </xdr:cNvSpPr>
      </xdr:nvSpPr>
      <xdr:spPr bwMode="auto">
        <a:xfrm>
          <a:off x="0" y="87794523"/>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266700" cy="38100"/>
    <xdr:sp macro="" textlink="">
      <xdr:nvSpPr>
        <xdr:cNvPr id="564" name="Text Box 4"/>
        <xdr:cNvSpPr txBox="1">
          <a:spLocks noChangeArrowheads="1"/>
        </xdr:cNvSpPr>
      </xdr:nvSpPr>
      <xdr:spPr bwMode="auto">
        <a:xfrm>
          <a:off x="0" y="87794523"/>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266700" cy="38100"/>
    <xdr:sp macro="" textlink="">
      <xdr:nvSpPr>
        <xdr:cNvPr id="565" name="Text Box 4"/>
        <xdr:cNvSpPr txBox="1">
          <a:spLocks noChangeArrowheads="1"/>
        </xdr:cNvSpPr>
      </xdr:nvSpPr>
      <xdr:spPr bwMode="auto">
        <a:xfrm>
          <a:off x="0" y="87794523"/>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266700" cy="38100"/>
    <xdr:sp macro="" textlink="">
      <xdr:nvSpPr>
        <xdr:cNvPr id="566" name="Text Box 4"/>
        <xdr:cNvSpPr txBox="1">
          <a:spLocks noChangeArrowheads="1"/>
        </xdr:cNvSpPr>
      </xdr:nvSpPr>
      <xdr:spPr bwMode="auto">
        <a:xfrm>
          <a:off x="0" y="87794523"/>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271</xdr:row>
      <xdr:rowOff>0</xdr:rowOff>
    </xdr:from>
    <xdr:ext cx="266700" cy="38100"/>
    <xdr:sp macro="" textlink="">
      <xdr:nvSpPr>
        <xdr:cNvPr id="567" name="Text Box 4"/>
        <xdr:cNvSpPr txBox="1">
          <a:spLocks noChangeArrowheads="1"/>
        </xdr:cNvSpPr>
      </xdr:nvSpPr>
      <xdr:spPr bwMode="auto">
        <a:xfrm>
          <a:off x="0" y="87794523"/>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2</xdr:row>
      <xdr:rowOff>0</xdr:rowOff>
    </xdr:from>
    <xdr:to>
      <xdr:col>0</xdr:col>
      <xdr:colOff>266700</xdr:colOff>
      <xdr:row>2</xdr:row>
      <xdr:rowOff>38100</xdr:rowOff>
    </xdr:to>
    <xdr:sp macro="" textlink="">
      <xdr:nvSpPr>
        <xdr:cNvPr id="520"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1"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2"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3"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4"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5"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6"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7"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8"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9"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0"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1"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2"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3"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4"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5"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6"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7"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8"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9" name="Text Box 4"/>
        <xdr:cNvSpPr txBox="1">
          <a:spLocks noChangeArrowheads="1"/>
        </xdr:cNvSpPr>
      </xdr:nvSpPr>
      <xdr:spPr bwMode="auto">
        <a:xfrm>
          <a:off x="0" y="2943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107</xdr:row>
      <xdr:rowOff>0</xdr:rowOff>
    </xdr:from>
    <xdr:ext cx="66675" cy="57150"/>
    <xdr:sp macro="" textlink="">
      <xdr:nvSpPr>
        <xdr:cNvPr id="54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4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5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5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68"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69"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4"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5"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47625"/>
    <xdr:sp macro="" textlink="">
      <xdr:nvSpPr>
        <xdr:cNvPr id="576"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47625"/>
    <xdr:sp macro="" textlink="">
      <xdr:nvSpPr>
        <xdr:cNvPr id="577"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8"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79"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47625"/>
    <xdr:sp macro="" textlink="">
      <xdr:nvSpPr>
        <xdr:cNvPr id="580"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47625"/>
    <xdr:sp macro="" textlink="">
      <xdr:nvSpPr>
        <xdr:cNvPr id="581"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8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8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8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8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8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8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8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8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9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9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9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9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9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66675" cy="57150"/>
    <xdr:sp macro="" textlink="">
      <xdr:nvSpPr>
        <xdr:cNvPr id="59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9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9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98"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107</xdr:row>
      <xdr:rowOff>0</xdr:rowOff>
    </xdr:from>
    <xdr:ext cx="266700" cy="38100"/>
    <xdr:sp macro="" textlink="">
      <xdr:nvSpPr>
        <xdr:cNvPr id="599"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0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1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1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4"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5"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8"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19"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47625"/>
    <xdr:sp macro="" textlink="">
      <xdr:nvSpPr>
        <xdr:cNvPr id="620"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47625"/>
    <xdr:sp macro="" textlink="">
      <xdr:nvSpPr>
        <xdr:cNvPr id="621"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2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2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47625"/>
    <xdr:sp macro="" textlink="">
      <xdr:nvSpPr>
        <xdr:cNvPr id="624"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47625"/>
    <xdr:sp macro="" textlink="">
      <xdr:nvSpPr>
        <xdr:cNvPr id="625"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2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2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2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2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66675" cy="57150"/>
    <xdr:sp macro="" textlink="">
      <xdr:nvSpPr>
        <xdr:cNvPr id="63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4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4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4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108</xdr:row>
      <xdr:rowOff>0</xdr:rowOff>
    </xdr:from>
    <xdr:ext cx="266700" cy="38100"/>
    <xdr:sp macro="" textlink="">
      <xdr:nvSpPr>
        <xdr:cNvPr id="64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4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4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4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4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4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4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5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5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5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5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5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5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5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5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58"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59"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6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6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6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6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47625"/>
    <xdr:sp macro="" textlink="">
      <xdr:nvSpPr>
        <xdr:cNvPr id="664"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47625"/>
    <xdr:sp macro="" textlink="">
      <xdr:nvSpPr>
        <xdr:cNvPr id="665"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6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6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47625"/>
    <xdr:sp macro="" textlink="">
      <xdr:nvSpPr>
        <xdr:cNvPr id="668"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47625"/>
    <xdr:sp macro="" textlink="">
      <xdr:nvSpPr>
        <xdr:cNvPr id="669"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7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7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7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8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8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8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66675" cy="57150"/>
    <xdr:sp macro="" textlink="">
      <xdr:nvSpPr>
        <xdr:cNvPr id="68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84"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85"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8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266700" cy="38100"/>
    <xdr:sp macro="" textlink="">
      <xdr:nvSpPr>
        <xdr:cNvPr id="68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8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8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69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2"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3"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4"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5"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6"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07"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47625"/>
    <xdr:sp macro="" textlink="">
      <xdr:nvSpPr>
        <xdr:cNvPr id="708"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47625"/>
    <xdr:sp macro="" textlink="">
      <xdr:nvSpPr>
        <xdr:cNvPr id="709"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1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1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47625"/>
    <xdr:sp macro="" textlink="">
      <xdr:nvSpPr>
        <xdr:cNvPr id="712"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47625"/>
    <xdr:sp macro="" textlink="">
      <xdr:nvSpPr>
        <xdr:cNvPr id="713" name="Text Box 4"/>
        <xdr:cNvSpPr txBox="1">
          <a:spLocks noChangeArrowheads="1"/>
        </xdr:cNvSpPr>
      </xdr:nvSpPr>
      <xdr:spPr bwMode="auto">
        <a:xfrm>
          <a:off x="0" y="31137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14"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15"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1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1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18"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19"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0"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1"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2"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3"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4"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5"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6"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66675" cy="57150"/>
    <xdr:sp macro="" textlink="">
      <xdr:nvSpPr>
        <xdr:cNvPr id="727" name="Text Box 4"/>
        <xdr:cNvSpPr txBox="1">
          <a:spLocks noChangeArrowheads="1"/>
        </xdr:cNvSpPr>
      </xdr:nvSpPr>
      <xdr:spPr bwMode="auto">
        <a:xfrm>
          <a:off x="0" y="31137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28"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29"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30"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266700" cy="38100"/>
    <xdr:sp macro="" textlink="">
      <xdr:nvSpPr>
        <xdr:cNvPr id="731" name="Text Box 4"/>
        <xdr:cNvSpPr txBox="1">
          <a:spLocks noChangeArrowheads="1"/>
        </xdr:cNvSpPr>
      </xdr:nvSpPr>
      <xdr:spPr bwMode="auto">
        <a:xfrm>
          <a:off x="0" y="31137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2"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3"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4"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5"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6"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7"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8"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39"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40"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41"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42"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43"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44"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45"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46"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47"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48"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49"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50"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51"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47625"/>
    <xdr:sp macro="" textlink="">
      <xdr:nvSpPr>
        <xdr:cNvPr id="752" name="Text Box 4"/>
        <xdr:cNvSpPr txBox="1">
          <a:spLocks noChangeArrowheads="1"/>
        </xdr:cNvSpPr>
      </xdr:nvSpPr>
      <xdr:spPr bwMode="auto">
        <a:xfrm>
          <a:off x="0" y="30375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47625"/>
    <xdr:sp macro="" textlink="">
      <xdr:nvSpPr>
        <xdr:cNvPr id="753" name="Text Box 4"/>
        <xdr:cNvSpPr txBox="1">
          <a:spLocks noChangeArrowheads="1"/>
        </xdr:cNvSpPr>
      </xdr:nvSpPr>
      <xdr:spPr bwMode="auto">
        <a:xfrm>
          <a:off x="0" y="30375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54"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55"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47625"/>
    <xdr:sp macro="" textlink="">
      <xdr:nvSpPr>
        <xdr:cNvPr id="756" name="Text Box 4"/>
        <xdr:cNvSpPr txBox="1">
          <a:spLocks noChangeArrowheads="1"/>
        </xdr:cNvSpPr>
      </xdr:nvSpPr>
      <xdr:spPr bwMode="auto">
        <a:xfrm>
          <a:off x="0" y="30375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47625"/>
    <xdr:sp macro="" textlink="">
      <xdr:nvSpPr>
        <xdr:cNvPr id="757" name="Text Box 4"/>
        <xdr:cNvSpPr txBox="1">
          <a:spLocks noChangeArrowheads="1"/>
        </xdr:cNvSpPr>
      </xdr:nvSpPr>
      <xdr:spPr bwMode="auto">
        <a:xfrm>
          <a:off x="0" y="3037522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58"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59"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0"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1"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2"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3"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4"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5"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6"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7"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8"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69"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70"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66675" cy="57150"/>
    <xdr:sp macro="" textlink="">
      <xdr:nvSpPr>
        <xdr:cNvPr id="771" name="Text Box 4"/>
        <xdr:cNvSpPr txBox="1">
          <a:spLocks noChangeArrowheads="1"/>
        </xdr:cNvSpPr>
      </xdr:nvSpPr>
      <xdr:spPr bwMode="auto">
        <a:xfrm>
          <a:off x="0" y="3037522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72"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73"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74"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112</xdr:row>
      <xdr:rowOff>0</xdr:rowOff>
    </xdr:from>
    <xdr:ext cx="266700" cy="38100"/>
    <xdr:sp macro="" textlink="">
      <xdr:nvSpPr>
        <xdr:cNvPr id="775" name="Text Box 4"/>
        <xdr:cNvSpPr txBox="1">
          <a:spLocks noChangeArrowheads="1"/>
        </xdr:cNvSpPr>
      </xdr:nvSpPr>
      <xdr:spPr bwMode="auto">
        <a:xfrm>
          <a:off x="0" y="303752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1990725</xdr:rowOff>
    </xdr:from>
    <xdr:to>
      <xdr:col>0</xdr:col>
      <xdr:colOff>57150</xdr:colOff>
      <xdr:row>64</xdr:row>
      <xdr:rowOff>79730</xdr:rowOff>
    </xdr:to>
    <xdr:sp macro="" textlink="">
      <xdr:nvSpPr>
        <xdr:cNvPr id="2" name="Text Box 394360"/>
        <xdr:cNvSpPr txBox="1">
          <a:spLocks noChangeArrowheads="1"/>
        </xdr:cNvSpPr>
      </xdr:nvSpPr>
      <xdr:spPr bwMode="auto">
        <a:xfrm>
          <a:off x="0" y="18468975"/>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79730</xdr:rowOff>
    </xdr:to>
    <xdr:sp macro="" textlink="">
      <xdr:nvSpPr>
        <xdr:cNvPr id="3" name="Text Box 394744"/>
        <xdr:cNvSpPr txBox="1">
          <a:spLocks noChangeArrowheads="1"/>
        </xdr:cNvSpPr>
      </xdr:nvSpPr>
      <xdr:spPr bwMode="auto">
        <a:xfrm>
          <a:off x="0" y="18468975"/>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79730</xdr:rowOff>
    </xdr:to>
    <xdr:sp macro="" textlink="">
      <xdr:nvSpPr>
        <xdr:cNvPr id="4" name="Text Box 394360"/>
        <xdr:cNvSpPr txBox="1">
          <a:spLocks noChangeArrowheads="1"/>
        </xdr:cNvSpPr>
      </xdr:nvSpPr>
      <xdr:spPr bwMode="auto">
        <a:xfrm>
          <a:off x="0" y="18468975"/>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79730</xdr:rowOff>
    </xdr:to>
    <xdr:sp macro="" textlink="">
      <xdr:nvSpPr>
        <xdr:cNvPr id="5" name="Text Box 394744"/>
        <xdr:cNvSpPr txBox="1">
          <a:spLocks noChangeArrowheads="1"/>
        </xdr:cNvSpPr>
      </xdr:nvSpPr>
      <xdr:spPr bwMode="auto">
        <a:xfrm>
          <a:off x="0" y="18468975"/>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79730</xdr:rowOff>
    </xdr:to>
    <xdr:sp macro="" textlink="">
      <xdr:nvSpPr>
        <xdr:cNvPr id="6" name="Text Box 394360"/>
        <xdr:cNvSpPr txBox="1">
          <a:spLocks noChangeArrowheads="1"/>
        </xdr:cNvSpPr>
      </xdr:nvSpPr>
      <xdr:spPr bwMode="auto">
        <a:xfrm>
          <a:off x="0" y="18468975"/>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79730</xdr:rowOff>
    </xdr:to>
    <xdr:sp macro="" textlink="">
      <xdr:nvSpPr>
        <xdr:cNvPr id="7" name="Text Box 394744"/>
        <xdr:cNvSpPr txBox="1">
          <a:spLocks noChangeArrowheads="1"/>
        </xdr:cNvSpPr>
      </xdr:nvSpPr>
      <xdr:spPr bwMode="auto">
        <a:xfrm>
          <a:off x="0" y="18468975"/>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 name="Text Box 39434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 name="Text Box 39434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 name="Text Box 39434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 name="Text Box 39434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 name="Text Box 39434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3" name="Text Box 39435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4" name="Text Box 39435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5" name="Text Box 39435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6" name="Text Box 39435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7" name="Text Box 39435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8" name="Text Box 39435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9" name="Text Box 39435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0" name="Text Box 39435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1" name="Text Box 39435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2" name="Text Box 39435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3" name="Text Box 39472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4" name="Text Box 39473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5" name="Text Box 39473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6" name="Text Box 39473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7" name="Text Box 39473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8" name="Text Box 39473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29" name="Text Box 39473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0" name="Text Box 39473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1" name="Text Box 39473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2" name="Text Box 39473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3" name="Text Box 39473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4" name="Text Box 39474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5" name="Text Box 39474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6" name="Text Box 39474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7" name="Text Box 39474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8" name="Text Box 39434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39" name="Text Box 39434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0" name="Text Box 39434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1" name="Text Box 39434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2" name="Text Box 39434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3" name="Text Box 39435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4" name="Text Box 39435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5" name="Text Box 39435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6" name="Text Box 39435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7" name="Text Box 39435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8" name="Text Box 39435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49" name="Text Box 39435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0" name="Text Box 39435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1" name="Text Box 39435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2" name="Text Box 39435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3" name="Text Box 39472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4" name="Text Box 39473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5" name="Text Box 39473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6" name="Text Box 39473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7" name="Text Box 39473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8" name="Text Box 39473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59" name="Text Box 39473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0" name="Text Box 39473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1" name="Text Box 39473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2" name="Text Box 39473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3" name="Text Box 39473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4" name="Text Box 39474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5" name="Text Box 39474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6" name="Text Box 39474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67" name="Text Box 39474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57150</xdr:colOff>
      <xdr:row>67</xdr:row>
      <xdr:rowOff>76200</xdr:rowOff>
    </xdr:to>
    <xdr:sp macro="" textlink="">
      <xdr:nvSpPr>
        <xdr:cNvPr id="68" name="Text Box 394360"/>
        <xdr:cNvSpPr txBox="1">
          <a:spLocks noChangeArrowheads="1"/>
        </xdr:cNvSpPr>
      </xdr:nvSpPr>
      <xdr:spPr bwMode="auto">
        <a:xfrm>
          <a:off x="0" y="19973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57150</xdr:colOff>
      <xdr:row>67</xdr:row>
      <xdr:rowOff>76200</xdr:rowOff>
    </xdr:to>
    <xdr:sp macro="" textlink="">
      <xdr:nvSpPr>
        <xdr:cNvPr id="69" name="Text Box 394744"/>
        <xdr:cNvSpPr txBox="1">
          <a:spLocks noChangeArrowheads="1"/>
        </xdr:cNvSpPr>
      </xdr:nvSpPr>
      <xdr:spPr bwMode="auto">
        <a:xfrm>
          <a:off x="0" y="19973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0" name="Text Box 39434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1" name="Text Box 39434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2" name="Text Box 39434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3" name="Text Box 39434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4" name="Text Box 39434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5" name="Text Box 39435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6" name="Text Box 39435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7" name="Text Box 39435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8" name="Text Box 39435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79" name="Text Box 39435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0" name="Text Box 39435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1" name="Text Box 39435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2" name="Text Box 39435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3" name="Text Box 39435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4" name="Text Box 39435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5" name="Text Box 39472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6" name="Text Box 39473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7" name="Text Box 39473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8" name="Text Box 39473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89" name="Text Box 39473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0" name="Text Box 39473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1" name="Text Box 39473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2" name="Text Box 39473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3" name="Text Box 39473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4" name="Text Box 39473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5" name="Text Box 39473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6" name="Text Box 39474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7" name="Text Box 39474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8" name="Text Box 39474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99" name="Text Box 39474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57150</xdr:colOff>
      <xdr:row>67</xdr:row>
      <xdr:rowOff>76200</xdr:rowOff>
    </xdr:to>
    <xdr:sp macro="" textlink="">
      <xdr:nvSpPr>
        <xdr:cNvPr id="100" name="Text Box 394360"/>
        <xdr:cNvSpPr txBox="1">
          <a:spLocks noChangeArrowheads="1"/>
        </xdr:cNvSpPr>
      </xdr:nvSpPr>
      <xdr:spPr bwMode="auto">
        <a:xfrm>
          <a:off x="0" y="19973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57150</xdr:colOff>
      <xdr:row>67</xdr:row>
      <xdr:rowOff>76200</xdr:rowOff>
    </xdr:to>
    <xdr:sp macro="" textlink="">
      <xdr:nvSpPr>
        <xdr:cNvPr id="101" name="Text Box 394744"/>
        <xdr:cNvSpPr txBox="1">
          <a:spLocks noChangeArrowheads="1"/>
        </xdr:cNvSpPr>
      </xdr:nvSpPr>
      <xdr:spPr bwMode="auto">
        <a:xfrm>
          <a:off x="0" y="19973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2" name="Text Box 39434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3" name="Text Box 39434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4" name="Text Box 39434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5" name="Text Box 39434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6" name="Text Box 39434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7" name="Text Box 39435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8" name="Text Box 39435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09" name="Text Box 39435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0" name="Text Box 39435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1" name="Text Box 39435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2" name="Text Box 39435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3" name="Text Box 39435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4" name="Text Box 39435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5" name="Text Box 39435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6" name="Text Box 39435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7" name="Text Box 39472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8" name="Text Box 39473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19" name="Text Box 39473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0" name="Text Box 39473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1" name="Text Box 39473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2" name="Text Box 394734"/>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3" name="Text Box 394735"/>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4" name="Text Box 394736"/>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5" name="Text Box 394737"/>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6" name="Text Box 394738"/>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7" name="Text Box 394739"/>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8" name="Text Box 394740"/>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29" name="Text Box 394741"/>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30" name="Text Box 394742"/>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95250</xdr:colOff>
      <xdr:row>67</xdr:row>
      <xdr:rowOff>38100</xdr:rowOff>
    </xdr:to>
    <xdr:sp macro="" textlink="">
      <xdr:nvSpPr>
        <xdr:cNvPr id="131" name="Text Box 394743"/>
        <xdr:cNvSpPr txBox="1">
          <a:spLocks noChangeArrowheads="1"/>
        </xdr:cNvSpPr>
      </xdr:nvSpPr>
      <xdr:spPr bwMode="auto">
        <a:xfrm>
          <a:off x="0" y="19973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266700</xdr:colOff>
      <xdr:row>73</xdr:row>
      <xdr:rowOff>38100</xdr:rowOff>
    </xdr:to>
    <xdr:sp macro="" textlink="">
      <xdr:nvSpPr>
        <xdr:cNvPr id="132" name="Text Box 4"/>
        <xdr:cNvSpPr txBox="1">
          <a:spLocks noChangeArrowheads="1"/>
        </xdr:cNvSpPr>
      </xdr:nvSpPr>
      <xdr:spPr bwMode="auto">
        <a:xfrm>
          <a:off x="0" y="22040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266700</xdr:colOff>
      <xdr:row>73</xdr:row>
      <xdr:rowOff>38100</xdr:rowOff>
    </xdr:to>
    <xdr:sp macro="" textlink="">
      <xdr:nvSpPr>
        <xdr:cNvPr id="133" name="Text Box 4"/>
        <xdr:cNvSpPr txBox="1">
          <a:spLocks noChangeArrowheads="1"/>
        </xdr:cNvSpPr>
      </xdr:nvSpPr>
      <xdr:spPr bwMode="auto">
        <a:xfrm>
          <a:off x="0" y="22040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266700</xdr:colOff>
      <xdr:row>73</xdr:row>
      <xdr:rowOff>38100</xdr:rowOff>
    </xdr:to>
    <xdr:sp macro="" textlink="">
      <xdr:nvSpPr>
        <xdr:cNvPr id="134" name="Text Box 4"/>
        <xdr:cNvSpPr txBox="1">
          <a:spLocks noChangeArrowheads="1"/>
        </xdr:cNvSpPr>
      </xdr:nvSpPr>
      <xdr:spPr bwMode="auto">
        <a:xfrm>
          <a:off x="0" y="22040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266700</xdr:colOff>
      <xdr:row>73</xdr:row>
      <xdr:rowOff>38100</xdr:rowOff>
    </xdr:to>
    <xdr:sp macro="" textlink="">
      <xdr:nvSpPr>
        <xdr:cNvPr id="135" name="Text Box 4"/>
        <xdr:cNvSpPr txBox="1">
          <a:spLocks noChangeArrowheads="1"/>
        </xdr:cNvSpPr>
      </xdr:nvSpPr>
      <xdr:spPr bwMode="auto">
        <a:xfrm>
          <a:off x="0" y="22040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36"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37"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38"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39"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0"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1"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2"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3"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4"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5"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6"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7"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8"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49"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0"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1"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2"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3"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4"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5"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6"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7"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8"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59"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0"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1"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2"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3"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4"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5"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6"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7"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8"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69"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0"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1"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2"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3"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4"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5"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6"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7"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8"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79"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0"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1"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2"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3"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4"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5"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6"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7"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8"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89"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0"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1"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2"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3"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4"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5"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196" name="Text Box 394360"/>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197" name="Text Box 394744"/>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8"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199"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0"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1"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2"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3"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4"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5"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6"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7"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8"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09"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0"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1"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2"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3"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4"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5"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6"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7"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8"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19"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0"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1"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2"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3"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4"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5"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6"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27"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228" name="Text Box 394360"/>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229" name="Text Box 394744"/>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0"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1"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2"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3"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4"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5"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6"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7"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8"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39"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0"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1"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2"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3"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4"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5"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6"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7"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8"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49"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0"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1"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2"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3"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4"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5"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6"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7"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8"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59"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0"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1"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2"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3"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4"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5"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6"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7"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8"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69"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0"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1"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2"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3"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4"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5"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6"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7"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8"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79"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0"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1"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2"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3"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4"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5"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6"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7"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8"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89"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0"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1"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2"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3"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4"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5"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6"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7"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8"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299"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0"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1"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2"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3"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4"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5"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6"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7"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8"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09"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0"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1"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2"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3"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4"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5"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6"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7"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8"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19"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320" name="Text Box 394360"/>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321" name="Text Box 394744"/>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2"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3"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4"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5"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6"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7"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8"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29"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0"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1"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2"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3"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4"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5"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6"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7"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8"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39"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0"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1"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2"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3"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4"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5"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6"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7"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8"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49"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0"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1"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352" name="Text Box 394360"/>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57150</xdr:colOff>
      <xdr:row>72</xdr:row>
      <xdr:rowOff>76200</xdr:rowOff>
    </xdr:to>
    <xdr:sp macro="" textlink="">
      <xdr:nvSpPr>
        <xdr:cNvPr id="353" name="Text Box 394744"/>
        <xdr:cNvSpPr txBox="1">
          <a:spLocks noChangeArrowheads="1"/>
        </xdr:cNvSpPr>
      </xdr:nvSpPr>
      <xdr:spPr bwMode="auto">
        <a:xfrm>
          <a:off x="0" y="2144077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4" name="Text Box 39434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5" name="Text Box 39434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6" name="Text Box 39434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7" name="Text Box 39434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8" name="Text Box 39434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59" name="Text Box 39435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0" name="Text Box 39435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1" name="Text Box 39435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2" name="Text Box 39435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3" name="Text Box 39435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4" name="Text Box 39435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5" name="Text Box 39435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6" name="Text Box 39435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7" name="Text Box 39435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8" name="Text Box 39435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69" name="Text Box 39472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0" name="Text Box 39473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1" name="Text Box 39473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2" name="Text Box 39473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3" name="Text Box 39473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4" name="Text Box 394734"/>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5" name="Text Box 394735"/>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6" name="Text Box 394736"/>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7" name="Text Box 394737"/>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8" name="Text Box 394738"/>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79" name="Text Box 394739"/>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80" name="Text Box 394740"/>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81" name="Text Box 394741"/>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82" name="Text Box 394742"/>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0</xdr:col>
      <xdr:colOff>95250</xdr:colOff>
      <xdr:row>72</xdr:row>
      <xdr:rowOff>38100</xdr:rowOff>
    </xdr:to>
    <xdr:sp macro="" textlink="">
      <xdr:nvSpPr>
        <xdr:cNvPr id="383" name="Text Box 394743"/>
        <xdr:cNvSpPr txBox="1">
          <a:spLocks noChangeArrowheads="1"/>
        </xdr:cNvSpPr>
      </xdr:nvSpPr>
      <xdr:spPr bwMode="auto">
        <a:xfrm>
          <a:off x="0" y="2144077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84"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85"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86"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87"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88"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89"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90"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91"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92"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93"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94"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395"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396"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397"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398"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399"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0"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1"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2"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3"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4"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5"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6"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7"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8"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09"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10"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11"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12"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13"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14"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15"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16"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17"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18"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19"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420" name="Text Box 4"/>
        <xdr:cNvSpPr txBox="1">
          <a:spLocks noChangeArrowheads="1"/>
        </xdr:cNvSpPr>
      </xdr:nvSpPr>
      <xdr:spPr bwMode="auto">
        <a:xfrm>
          <a:off x="0" y="36147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421" name="Text Box 4"/>
        <xdr:cNvSpPr txBox="1">
          <a:spLocks noChangeArrowheads="1"/>
        </xdr:cNvSpPr>
      </xdr:nvSpPr>
      <xdr:spPr bwMode="auto">
        <a:xfrm>
          <a:off x="0" y="36147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22"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23"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424" name="Text Box 4"/>
        <xdr:cNvSpPr txBox="1">
          <a:spLocks noChangeArrowheads="1"/>
        </xdr:cNvSpPr>
      </xdr:nvSpPr>
      <xdr:spPr bwMode="auto">
        <a:xfrm>
          <a:off x="0" y="36147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425" name="Text Box 4"/>
        <xdr:cNvSpPr txBox="1">
          <a:spLocks noChangeArrowheads="1"/>
        </xdr:cNvSpPr>
      </xdr:nvSpPr>
      <xdr:spPr bwMode="auto">
        <a:xfrm>
          <a:off x="0" y="36147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26"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27"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28"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29"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0"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1"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2"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3"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4"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5"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6"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7"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8"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439" name="Text Box 4"/>
        <xdr:cNvSpPr txBox="1">
          <a:spLocks noChangeArrowheads="1"/>
        </xdr:cNvSpPr>
      </xdr:nvSpPr>
      <xdr:spPr bwMode="auto">
        <a:xfrm>
          <a:off x="0" y="36147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40"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41"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42"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443" name="Text Box 4"/>
        <xdr:cNvSpPr txBox="1">
          <a:spLocks noChangeArrowheads="1"/>
        </xdr:cNvSpPr>
      </xdr:nvSpPr>
      <xdr:spPr bwMode="auto">
        <a:xfrm>
          <a:off x="0" y="36147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44"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45"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46"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47"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47625</xdr:rowOff>
    </xdr:to>
    <xdr:sp macro="" textlink="">
      <xdr:nvSpPr>
        <xdr:cNvPr id="448" name="Text Box 4"/>
        <xdr:cNvSpPr txBox="1">
          <a:spLocks noChangeArrowheads="1"/>
        </xdr:cNvSpPr>
      </xdr:nvSpPr>
      <xdr:spPr bwMode="auto">
        <a:xfrm>
          <a:off x="0" y="35985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47625</xdr:rowOff>
    </xdr:to>
    <xdr:sp macro="" textlink="">
      <xdr:nvSpPr>
        <xdr:cNvPr id="449" name="Text Box 4"/>
        <xdr:cNvSpPr txBox="1">
          <a:spLocks noChangeArrowheads="1"/>
        </xdr:cNvSpPr>
      </xdr:nvSpPr>
      <xdr:spPr bwMode="auto">
        <a:xfrm>
          <a:off x="0" y="35985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50"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51"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47625</xdr:rowOff>
    </xdr:to>
    <xdr:sp macro="" textlink="">
      <xdr:nvSpPr>
        <xdr:cNvPr id="452" name="Text Box 4"/>
        <xdr:cNvSpPr txBox="1">
          <a:spLocks noChangeArrowheads="1"/>
        </xdr:cNvSpPr>
      </xdr:nvSpPr>
      <xdr:spPr bwMode="auto">
        <a:xfrm>
          <a:off x="0" y="35985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47625</xdr:rowOff>
    </xdr:to>
    <xdr:sp macro="" textlink="">
      <xdr:nvSpPr>
        <xdr:cNvPr id="453" name="Text Box 4"/>
        <xdr:cNvSpPr txBox="1">
          <a:spLocks noChangeArrowheads="1"/>
        </xdr:cNvSpPr>
      </xdr:nvSpPr>
      <xdr:spPr bwMode="auto">
        <a:xfrm>
          <a:off x="0" y="35985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54"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55"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56"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57"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58"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59"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0"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1"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2"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3"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4"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5"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6"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66675</xdr:colOff>
      <xdr:row>129</xdr:row>
      <xdr:rowOff>57150</xdr:rowOff>
    </xdr:to>
    <xdr:sp macro="" textlink="">
      <xdr:nvSpPr>
        <xdr:cNvPr id="467" name="Text Box 4"/>
        <xdr:cNvSpPr txBox="1">
          <a:spLocks noChangeArrowheads="1"/>
        </xdr:cNvSpPr>
      </xdr:nvSpPr>
      <xdr:spPr bwMode="auto">
        <a:xfrm>
          <a:off x="0" y="35985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68"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69"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70"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129</xdr:row>
      <xdr:rowOff>0</xdr:rowOff>
    </xdr:from>
    <xdr:to>
      <xdr:col>0</xdr:col>
      <xdr:colOff>266700</xdr:colOff>
      <xdr:row>129</xdr:row>
      <xdr:rowOff>38100</xdr:rowOff>
    </xdr:to>
    <xdr:sp macro="" textlink="">
      <xdr:nvSpPr>
        <xdr:cNvPr id="471" name="Text Box 4"/>
        <xdr:cNvSpPr txBox="1">
          <a:spLocks noChangeArrowheads="1"/>
        </xdr:cNvSpPr>
      </xdr:nvSpPr>
      <xdr:spPr bwMode="auto">
        <a:xfrm>
          <a:off x="0" y="35985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2"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3"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4"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5"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6"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7"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8"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79"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80"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81"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82"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66675</xdr:colOff>
      <xdr:row>139</xdr:row>
      <xdr:rowOff>57150</xdr:rowOff>
    </xdr:to>
    <xdr:sp macro="" textlink="">
      <xdr:nvSpPr>
        <xdr:cNvPr id="483" name="Text Box 4"/>
        <xdr:cNvSpPr txBox="1">
          <a:spLocks noChangeArrowheads="1"/>
        </xdr:cNvSpPr>
      </xdr:nvSpPr>
      <xdr:spPr bwMode="auto">
        <a:xfrm>
          <a:off x="0" y="36309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484"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485"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486"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139</xdr:row>
      <xdr:rowOff>0</xdr:rowOff>
    </xdr:from>
    <xdr:to>
      <xdr:col>0</xdr:col>
      <xdr:colOff>266700</xdr:colOff>
      <xdr:row>139</xdr:row>
      <xdr:rowOff>38100</xdr:rowOff>
    </xdr:to>
    <xdr:sp macro="" textlink="">
      <xdr:nvSpPr>
        <xdr:cNvPr id="487" name="Text Box 4"/>
        <xdr:cNvSpPr txBox="1">
          <a:spLocks noChangeArrowheads="1"/>
        </xdr:cNvSpPr>
      </xdr:nvSpPr>
      <xdr:spPr bwMode="auto">
        <a:xfrm>
          <a:off x="0" y="36309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88"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89"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0"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1"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2"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3"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4"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5"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6"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7"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8"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66675</xdr:colOff>
      <xdr:row>305</xdr:row>
      <xdr:rowOff>57150</xdr:rowOff>
    </xdr:to>
    <xdr:sp macro="" textlink="">
      <xdr:nvSpPr>
        <xdr:cNvPr id="499" name="Text Box 4"/>
        <xdr:cNvSpPr txBox="1">
          <a:spLocks noChangeArrowheads="1"/>
        </xdr:cNvSpPr>
      </xdr:nvSpPr>
      <xdr:spPr bwMode="auto">
        <a:xfrm>
          <a:off x="0" y="926020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266700</xdr:colOff>
      <xdr:row>305</xdr:row>
      <xdr:rowOff>38100</xdr:rowOff>
    </xdr:to>
    <xdr:sp macro="" textlink="">
      <xdr:nvSpPr>
        <xdr:cNvPr id="500" name="Text Box 4"/>
        <xdr:cNvSpPr txBox="1">
          <a:spLocks noChangeArrowheads="1"/>
        </xdr:cNvSpPr>
      </xdr:nvSpPr>
      <xdr:spPr bwMode="auto">
        <a:xfrm>
          <a:off x="0" y="926020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266700</xdr:colOff>
      <xdr:row>305</xdr:row>
      <xdr:rowOff>38100</xdr:rowOff>
    </xdr:to>
    <xdr:sp macro="" textlink="">
      <xdr:nvSpPr>
        <xdr:cNvPr id="501" name="Text Box 4"/>
        <xdr:cNvSpPr txBox="1">
          <a:spLocks noChangeArrowheads="1"/>
        </xdr:cNvSpPr>
      </xdr:nvSpPr>
      <xdr:spPr bwMode="auto">
        <a:xfrm>
          <a:off x="0" y="926020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266700</xdr:colOff>
      <xdr:row>305</xdr:row>
      <xdr:rowOff>38100</xdr:rowOff>
    </xdr:to>
    <xdr:sp macro="" textlink="">
      <xdr:nvSpPr>
        <xdr:cNvPr id="502" name="Text Box 4"/>
        <xdr:cNvSpPr txBox="1">
          <a:spLocks noChangeArrowheads="1"/>
        </xdr:cNvSpPr>
      </xdr:nvSpPr>
      <xdr:spPr bwMode="auto">
        <a:xfrm>
          <a:off x="0" y="926020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305</xdr:row>
      <xdr:rowOff>0</xdr:rowOff>
    </xdr:from>
    <xdr:to>
      <xdr:col>0</xdr:col>
      <xdr:colOff>266700</xdr:colOff>
      <xdr:row>305</xdr:row>
      <xdr:rowOff>38100</xdr:rowOff>
    </xdr:to>
    <xdr:sp macro="" textlink="">
      <xdr:nvSpPr>
        <xdr:cNvPr id="503" name="Text Box 4"/>
        <xdr:cNvSpPr txBox="1">
          <a:spLocks noChangeArrowheads="1"/>
        </xdr:cNvSpPr>
      </xdr:nvSpPr>
      <xdr:spPr bwMode="auto">
        <a:xfrm>
          <a:off x="0" y="926020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315</xdr:row>
      <xdr:rowOff>0</xdr:rowOff>
    </xdr:from>
    <xdr:ext cx="66675" cy="57150"/>
    <xdr:sp macro="" textlink="">
      <xdr:nvSpPr>
        <xdr:cNvPr id="504"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05"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06"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07"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08"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09"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10"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11"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12"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13"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14"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66675" cy="57150"/>
    <xdr:sp macro="" textlink="">
      <xdr:nvSpPr>
        <xdr:cNvPr id="515" name="Text Box 4"/>
        <xdr:cNvSpPr txBox="1">
          <a:spLocks noChangeArrowheads="1"/>
        </xdr:cNvSpPr>
      </xdr:nvSpPr>
      <xdr:spPr bwMode="auto">
        <a:xfrm>
          <a:off x="0" y="95535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266700" cy="38100"/>
    <xdr:sp macro="" textlink="">
      <xdr:nvSpPr>
        <xdr:cNvPr id="516" name="Text Box 4"/>
        <xdr:cNvSpPr txBox="1">
          <a:spLocks noChangeArrowheads="1"/>
        </xdr:cNvSpPr>
      </xdr:nvSpPr>
      <xdr:spPr bwMode="auto">
        <a:xfrm>
          <a:off x="0" y="95535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266700" cy="38100"/>
    <xdr:sp macro="" textlink="">
      <xdr:nvSpPr>
        <xdr:cNvPr id="517" name="Text Box 4"/>
        <xdr:cNvSpPr txBox="1">
          <a:spLocks noChangeArrowheads="1"/>
        </xdr:cNvSpPr>
      </xdr:nvSpPr>
      <xdr:spPr bwMode="auto">
        <a:xfrm>
          <a:off x="0" y="95535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266700" cy="38100"/>
    <xdr:sp macro="" textlink="">
      <xdr:nvSpPr>
        <xdr:cNvPr id="518" name="Text Box 4"/>
        <xdr:cNvSpPr txBox="1">
          <a:spLocks noChangeArrowheads="1"/>
        </xdr:cNvSpPr>
      </xdr:nvSpPr>
      <xdr:spPr bwMode="auto">
        <a:xfrm>
          <a:off x="0" y="95535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315</xdr:row>
      <xdr:rowOff>0</xdr:rowOff>
    </xdr:from>
    <xdr:ext cx="266700" cy="38100"/>
    <xdr:sp macro="" textlink="">
      <xdr:nvSpPr>
        <xdr:cNvPr id="519" name="Text Box 4"/>
        <xdr:cNvSpPr txBox="1">
          <a:spLocks noChangeArrowheads="1"/>
        </xdr:cNvSpPr>
      </xdr:nvSpPr>
      <xdr:spPr bwMode="auto">
        <a:xfrm>
          <a:off x="0" y="95535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63</xdr:row>
      <xdr:rowOff>1990725</xdr:rowOff>
    </xdr:from>
    <xdr:to>
      <xdr:col>0</xdr:col>
      <xdr:colOff>57150</xdr:colOff>
      <xdr:row>64</xdr:row>
      <xdr:rowOff>79729</xdr:rowOff>
    </xdr:to>
    <xdr:sp macro="" textlink="">
      <xdr:nvSpPr>
        <xdr:cNvPr id="520" name="Text Box 394360"/>
        <xdr:cNvSpPr txBox="1">
          <a:spLocks noChangeArrowheads="1"/>
        </xdr:cNvSpPr>
      </xdr:nvSpPr>
      <xdr:spPr bwMode="auto">
        <a:xfrm>
          <a:off x="0" y="169926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79729</xdr:rowOff>
    </xdr:to>
    <xdr:sp macro="" textlink="">
      <xdr:nvSpPr>
        <xdr:cNvPr id="521" name="Text Box 394744"/>
        <xdr:cNvSpPr txBox="1">
          <a:spLocks noChangeArrowheads="1"/>
        </xdr:cNvSpPr>
      </xdr:nvSpPr>
      <xdr:spPr bwMode="auto">
        <a:xfrm>
          <a:off x="0" y="169926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79729</xdr:rowOff>
    </xdr:to>
    <xdr:sp macro="" textlink="">
      <xdr:nvSpPr>
        <xdr:cNvPr id="522" name="Text Box 394360"/>
        <xdr:cNvSpPr txBox="1">
          <a:spLocks noChangeArrowheads="1"/>
        </xdr:cNvSpPr>
      </xdr:nvSpPr>
      <xdr:spPr bwMode="auto">
        <a:xfrm>
          <a:off x="0" y="169926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79729</xdr:rowOff>
    </xdr:to>
    <xdr:sp macro="" textlink="">
      <xdr:nvSpPr>
        <xdr:cNvPr id="523" name="Text Box 394744"/>
        <xdr:cNvSpPr txBox="1">
          <a:spLocks noChangeArrowheads="1"/>
        </xdr:cNvSpPr>
      </xdr:nvSpPr>
      <xdr:spPr bwMode="auto">
        <a:xfrm>
          <a:off x="0" y="169926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79729</xdr:rowOff>
    </xdr:to>
    <xdr:sp macro="" textlink="">
      <xdr:nvSpPr>
        <xdr:cNvPr id="524" name="Text Box 394360"/>
        <xdr:cNvSpPr txBox="1">
          <a:spLocks noChangeArrowheads="1"/>
        </xdr:cNvSpPr>
      </xdr:nvSpPr>
      <xdr:spPr bwMode="auto">
        <a:xfrm>
          <a:off x="0" y="169926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1990725</xdr:rowOff>
    </xdr:from>
    <xdr:to>
      <xdr:col>0</xdr:col>
      <xdr:colOff>57150</xdr:colOff>
      <xdr:row>64</xdr:row>
      <xdr:rowOff>79729</xdr:rowOff>
    </xdr:to>
    <xdr:sp macro="" textlink="">
      <xdr:nvSpPr>
        <xdr:cNvPr id="525" name="Text Box 394744"/>
        <xdr:cNvSpPr txBox="1">
          <a:spLocks noChangeArrowheads="1"/>
        </xdr:cNvSpPr>
      </xdr:nvSpPr>
      <xdr:spPr bwMode="auto">
        <a:xfrm>
          <a:off x="0" y="16992600"/>
          <a:ext cx="57150" cy="7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26" name="Text Box 39434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27" name="Text Box 39434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28" name="Text Box 39434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29" name="Text Box 39434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0" name="Text Box 39434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1" name="Text Box 39435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2" name="Text Box 39435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3" name="Text Box 39435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4" name="Text Box 39435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5" name="Text Box 39435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6" name="Text Box 39435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7" name="Text Box 39435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8" name="Text Box 39435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39" name="Text Box 39435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0" name="Text Box 39435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1" name="Text Box 39472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2" name="Text Box 39473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3" name="Text Box 39473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4" name="Text Box 39473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5" name="Text Box 39473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6" name="Text Box 39473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7" name="Text Box 39473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8" name="Text Box 39473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49" name="Text Box 39473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0" name="Text Box 39473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1" name="Text Box 39473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2" name="Text Box 39474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3" name="Text Box 39474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4" name="Text Box 39474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5" name="Text Box 39474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6" name="Text Box 39434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7" name="Text Box 39434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8" name="Text Box 39434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59" name="Text Box 39434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0" name="Text Box 39434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1" name="Text Box 39435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2" name="Text Box 39435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3" name="Text Box 39435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4" name="Text Box 39435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5" name="Text Box 39435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6" name="Text Box 39435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7" name="Text Box 39435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8" name="Text Box 39435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69" name="Text Box 39435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0" name="Text Box 39435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1" name="Text Box 39472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2" name="Text Box 39473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3" name="Text Box 39473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4" name="Text Box 39473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5" name="Text Box 39473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6" name="Text Box 39473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7" name="Text Box 39473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8" name="Text Box 39473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79" name="Text Box 39473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0" name="Text Box 39473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1" name="Text Box 39473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2" name="Text Box 39474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3" name="Text Box 39474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4" name="Text Box 39474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5" name="Text Box 39474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57150</xdr:colOff>
      <xdr:row>71</xdr:row>
      <xdr:rowOff>76200</xdr:rowOff>
    </xdr:to>
    <xdr:sp macro="" textlink="">
      <xdr:nvSpPr>
        <xdr:cNvPr id="586" name="Text Box 394360"/>
        <xdr:cNvSpPr txBox="1">
          <a:spLocks noChangeArrowheads="1"/>
        </xdr:cNvSpPr>
      </xdr:nvSpPr>
      <xdr:spPr bwMode="auto">
        <a:xfrm>
          <a:off x="0" y="208788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57150</xdr:colOff>
      <xdr:row>71</xdr:row>
      <xdr:rowOff>76200</xdr:rowOff>
    </xdr:to>
    <xdr:sp macro="" textlink="">
      <xdr:nvSpPr>
        <xdr:cNvPr id="587" name="Text Box 394744"/>
        <xdr:cNvSpPr txBox="1">
          <a:spLocks noChangeArrowheads="1"/>
        </xdr:cNvSpPr>
      </xdr:nvSpPr>
      <xdr:spPr bwMode="auto">
        <a:xfrm>
          <a:off x="0" y="208788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8" name="Text Box 39434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89" name="Text Box 39434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0" name="Text Box 39434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1" name="Text Box 39434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2" name="Text Box 39434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3" name="Text Box 39435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4" name="Text Box 39435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5" name="Text Box 39435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6" name="Text Box 39435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7" name="Text Box 39435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8" name="Text Box 39435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599" name="Text Box 39435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0" name="Text Box 39435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1" name="Text Box 39435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2" name="Text Box 39435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3" name="Text Box 39472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4" name="Text Box 39473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5" name="Text Box 39473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6" name="Text Box 39473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7" name="Text Box 39473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8" name="Text Box 39473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09" name="Text Box 39473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0" name="Text Box 39473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1" name="Text Box 39473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2" name="Text Box 39473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3" name="Text Box 39473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4" name="Text Box 39474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5" name="Text Box 39474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6" name="Text Box 39474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17" name="Text Box 39474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57150</xdr:colOff>
      <xdr:row>71</xdr:row>
      <xdr:rowOff>76200</xdr:rowOff>
    </xdr:to>
    <xdr:sp macro="" textlink="">
      <xdr:nvSpPr>
        <xdr:cNvPr id="618" name="Text Box 394360"/>
        <xdr:cNvSpPr txBox="1">
          <a:spLocks noChangeArrowheads="1"/>
        </xdr:cNvSpPr>
      </xdr:nvSpPr>
      <xdr:spPr bwMode="auto">
        <a:xfrm>
          <a:off x="0" y="208788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57150</xdr:colOff>
      <xdr:row>71</xdr:row>
      <xdr:rowOff>76200</xdr:rowOff>
    </xdr:to>
    <xdr:sp macro="" textlink="">
      <xdr:nvSpPr>
        <xdr:cNvPr id="619" name="Text Box 394744"/>
        <xdr:cNvSpPr txBox="1">
          <a:spLocks noChangeArrowheads="1"/>
        </xdr:cNvSpPr>
      </xdr:nvSpPr>
      <xdr:spPr bwMode="auto">
        <a:xfrm>
          <a:off x="0" y="208788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0" name="Text Box 39434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1" name="Text Box 39434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2" name="Text Box 39434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3" name="Text Box 39434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4" name="Text Box 39434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5" name="Text Box 39435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6" name="Text Box 39435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7" name="Text Box 39435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8" name="Text Box 39435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29" name="Text Box 39435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0" name="Text Box 39435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1" name="Text Box 39435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2" name="Text Box 39435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3" name="Text Box 39435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4" name="Text Box 39435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5" name="Text Box 39472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6" name="Text Box 39473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7" name="Text Box 39473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8" name="Text Box 39473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39" name="Text Box 39473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0" name="Text Box 394734"/>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1" name="Text Box 394735"/>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2" name="Text Box 394736"/>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3" name="Text Box 394737"/>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4" name="Text Box 394738"/>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5" name="Text Box 394739"/>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6" name="Text Box 394740"/>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7" name="Text Box 394741"/>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8" name="Text Box 394742"/>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71</xdr:row>
      <xdr:rowOff>0</xdr:rowOff>
    </xdr:from>
    <xdr:to>
      <xdr:col>0</xdr:col>
      <xdr:colOff>95250</xdr:colOff>
      <xdr:row>71</xdr:row>
      <xdr:rowOff>38100</xdr:rowOff>
    </xdr:to>
    <xdr:sp macro="" textlink="">
      <xdr:nvSpPr>
        <xdr:cNvPr id="649" name="Text Box 394743"/>
        <xdr:cNvSpPr txBox="1">
          <a:spLocks noChangeArrowheads="1"/>
        </xdr:cNvSpPr>
      </xdr:nvSpPr>
      <xdr:spPr bwMode="auto">
        <a:xfrm>
          <a:off x="0" y="2087880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0"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1"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2"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3"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4"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5"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6"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7"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8"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59"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60"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61"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2"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3"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4"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5"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6"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7"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8"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69"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670" name="Text Box 4"/>
        <xdr:cNvSpPr txBox="1">
          <a:spLocks noChangeArrowheads="1"/>
        </xdr:cNvSpPr>
      </xdr:nvSpPr>
      <xdr:spPr bwMode="auto">
        <a:xfrm>
          <a:off x="0" y="374523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671" name="Text Box 4"/>
        <xdr:cNvSpPr txBox="1">
          <a:spLocks noChangeArrowheads="1"/>
        </xdr:cNvSpPr>
      </xdr:nvSpPr>
      <xdr:spPr bwMode="auto">
        <a:xfrm>
          <a:off x="0" y="374523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72"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73"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674" name="Text Box 4"/>
        <xdr:cNvSpPr txBox="1">
          <a:spLocks noChangeArrowheads="1"/>
        </xdr:cNvSpPr>
      </xdr:nvSpPr>
      <xdr:spPr bwMode="auto">
        <a:xfrm>
          <a:off x="0" y="374523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47625</xdr:rowOff>
    </xdr:to>
    <xdr:sp macro="" textlink="">
      <xdr:nvSpPr>
        <xdr:cNvPr id="675" name="Text Box 4"/>
        <xdr:cNvSpPr txBox="1">
          <a:spLocks noChangeArrowheads="1"/>
        </xdr:cNvSpPr>
      </xdr:nvSpPr>
      <xdr:spPr bwMode="auto">
        <a:xfrm>
          <a:off x="0" y="374523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76"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77"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78"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79"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0"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1"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2"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3"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4"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5"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6"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7"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8"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66675</xdr:colOff>
      <xdr:row>130</xdr:row>
      <xdr:rowOff>57150</xdr:rowOff>
    </xdr:to>
    <xdr:sp macro="" textlink="">
      <xdr:nvSpPr>
        <xdr:cNvPr id="689" name="Text Box 4"/>
        <xdr:cNvSpPr txBox="1">
          <a:spLocks noChangeArrowheads="1"/>
        </xdr:cNvSpPr>
      </xdr:nvSpPr>
      <xdr:spPr bwMode="auto">
        <a:xfrm>
          <a:off x="0" y="37452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90"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91"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92"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130</xdr:row>
      <xdr:rowOff>0</xdr:rowOff>
    </xdr:from>
    <xdr:to>
      <xdr:col>0</xdr:col>
      <xdr:colOff>266700</xdr:colOff>
      <xdr:row>130</xdr:row>
      <xdr:rowOff>38100</xdr:rowOff>
    </xdr:to>
    <xdr:sp macro="" textlink="">
      <xdr:nvSpPr>
        <xdr:cNvPr id="693" name="Text Box 4"/>
        <xdr:cNvSpPr txBox="1">
          <a:spLocks noChangeArrowheads="1"/>
        </xdr:cNvSpPr>
      </xdr:nvSpPr>
      <xdr:spPr bwMode="auto">
        <a:xfrm>
          <a:off x="0" y="37452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126</xdr:row>
      <xdr:rowOff>0</xdr:rowOff>
    </xdr:from>
    <xdr:ext cx="66675" cy="57150"/>
    <xdr:sp macro="" textlink="">
      <xdr:nvSpPr>
        <xdr:cNvPr id="694"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695"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696"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697"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698"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699"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00"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01"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02"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03"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04"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05"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06"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07"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08"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09"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10"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11"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12"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13"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714" name="Text Box 4"/>
        <xdr:cNvSpPr txBox="1">
          <a:spLocks noChangeArrowheads="1"/>
        </xdr:cNvSpPr>
      </xdr:nvSpPr>
      <xdr:spPr bwMode="auto">
        <a:xfrm>
          <a:off x="0" y="36518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715" name="Text Box 4"/>
        <xdr:cNvSpPr txBox="1">
          <a:spLocks noChangeArrowheads="1"/>
        </xdr:cNvSpPr>
      </xdr:nvSpPr>
      <xdr:spPr bwMode="auto">
        <a:xfrm>
          <a:off x="0" y="36518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16"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17"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718" name="Text Box 4"/>
        <xdr:cNvSpPr txBox="1">
          <a:spLocks noChangeArrowheads="1"/>
        </xdr:cNvSpPr>
      </xdr:nvSpPr>
      <xdr:spPr bwMode="auto">
        <a:xfrm>
          <a:off x="0" y="36518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719" name="Text Box 4"/>
        <xdr:cNvSpPr txBox="1">
          <a:spLocks noChangeArrowheads="1"/>
        </xdr:cNvSpPr>
      </xdr:nvSpPr>
      <xdr:spPr bwMode="auto">
        <a:xfrm>
          <a:off x="0" y="36518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20"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21"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2"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3"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4"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5"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6"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7"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8"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29"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30"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31"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32"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733" name="Text Box 4"/>
        <xdr:cNvSpPr txBox="1">
          <a:spLocks noChangeArrowheads="1"/>
        </xdr:cNvSpPr>
      </xdr:nvSpPr>
      <xdr:spPr bwMode="auto">
        <a:xfrm>
          <a:off x="0" y="365188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34"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35"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36"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737" name="Text Box 4"/>
        <xdr:cNvSpPr txBox="1">
          <a:spLocks noChangeArrowheads="1"/>
        </xdr:cNvSpPr>
      </xdr:nvSpPr>
      <xdr:spPr bwMode="auto">
        <a:xfrm>
          <a:off x="0" y="365188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38"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39"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0"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1"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2"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3"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4"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5"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6"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7"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8"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49"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0"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1"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2"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3"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4"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5"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6"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57"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47625"/>
    <xdr:sp macro="" textlink="">
      <xdr:nvSpPr>
        <xdr:cNvPr id="758" name="Text Box 4"/>
        <xdr:cNvSpPr txBox="1">
          <a:spLocks noChangeArrowheads="1"/>
        </xdr:cNvSpPr>
      </xdr:nvSpPr>
      <xdr:spPr bwMode="auto">
        <a:xfrm>
          <a:off x="0" y="36842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47625"/>
    <xdr:sp macro="" textlink="">
      <xdr:nvSpPr>
        <xdr:cNvPr id="759" name="Text Box 4"/>
        <xdr:cNvSpPr txBox="1">
          <a:spLocks noChangeArrowheads="1"/>
        </xdr:cNvSpPr>
      </xdr:nvSpPr>
      <xdr:spPr bwMode="auto">
        <a:xfrm>
          <a:off x="0" y="36842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60"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61"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47625"/>
    <xdr:sp macro="" textlink="">
      <xdr:nvSpPr>
        <xdr:cNvPr id="762" name="Text Box 4"/>
        <xdr:cNvSpPr txBox="1">
          <a:spLocks noChangeArrowheads="1"/>
        </xdr:cNvSpPr>
      </xdr:nvSpPr>
      <xdr:spPr bwMode="auto">
        <a:xfrm>
          <a:off x="0" y="36842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47625"/>
    <xdr:sp macro="" textlink="">
      <xdr:nvSpPr>
        <xdr:cNvPr id="763" name="Text Box 4"/>
        <xdr:cNvSpPr txBox="1">
          <a:spLocks noChangeArrowheads="1"/>
        </xdr:cNvSpPr>
      </xdr:nvSpPr>
      <xdr:spPr bwMode="auto">
        <a:xfrm>
          <a:off x="0" y="36842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64"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65"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66"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67"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68"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69"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0"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1"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2"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3"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4"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5"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6"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66675" cy="57150"/>
    <xdr:sp macro="" textlink="">
      <xdr:nvSpPr>
        <xdr:cNvPr id="777" name="Text Box 4"/>
        <xdr:cNvSpPr txBox="1">
          <a:spLocks noChangeArrowheads="1"/>
        </xdr:cNvSpPr>
      </xdr:nvSpPr>
      <xdr:spPr bwMode="auto">
        <a:xfrm>
          <a:off x="0" y="36842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78"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79"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80"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127</xdr:row>
      <xdr:rowOff>0</xdr:rowOff>
    </xdr:from>
    <xdr:ext cx="266700" cy="38100"/>
    <xdr:sp macro="" textlink="">
      <xdr:nvSpPr>
        <xdr:cNvPr id="781" name="Text Box 4"/>
        <xdr:cNvSpPr txBox="1">
          <a:spLocks noChangeArrowheads="1"/>
        </xdr:cNvSpPr>
      </xdr:nvSpPr>
      <xdr:spPr bwMode="auto">
        <a:xfrm>
          <a:off x="0" y="36842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2"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3"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4"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5"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6"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7"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8"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89"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90"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91"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92"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793"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794"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795"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796"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797"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798"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799"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00"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01"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47625"/>
    <xdr:sp macro="" textlink="">
      <xdr:nvSpPr>
        <xdr:cNvPr id="802" name="Text Box 4"/>
        <xdr:cNvSpPr txBox="1">
          <a:spLocks noChangeArrowheads="1"/>
        </xdr:cNvSpPr>
      </xdr:nvSpPr>
      <xdr:spPr bwMode="auto">
        <a:xfrm>
          <a:off x="0" y="37128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47625"/>
    <xdr:sp macro="" textlink="">
      <xdr:nvSpPr>
        <xdr:cNvPr id="803" name="Text Box 4"/>
        <xdr:cNvSpPr txBox="1">
          <a:spLocks noChangeArrowheads="1"/>
        </xdr:cNvSpPr>
      </xdr:nvSpPr>
      <xdr:spPr bwMode="auto">
        <a:xfrm>
          <a:off x="0" y="37128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04"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05"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47625"/>
    <xdr:sp macro="" textlink="">
      <xdr:nvSpPr>
        <xdr:cNvPr id="806" name="Text Box 4"/>
        <xdr:cNvSpPr txBox="1">
          <a:spLocks noChangeArrowheads="1"/>
        </xdr:cNvSpPr>
      </xdr:nvSpPr>
      <xdr:spPr bwMode="auto">
        <a:xfrm>
          <a:off x="0" y="37128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47625"/>
    <xdr:sp macro="" textlink="">
      <xdr:nvSpPr>
        <xdr:cNvPr id="807" name="Text Box 4"/>
        <xdr:cNvSpPr txBox="1">
          <a:spLocks noChangeArrowheads="1"/>
        </xdr:cNvSpPr>
      </xdr:nvSpPr>
      <xdr:spPr bwMode="auto">
        <a:xfrm>
          <a:off x="0" y="37128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08"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09"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0"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1"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2"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3"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4"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5"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6"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7"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8"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19"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20"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66675" cy="57150"/>
    <xdr:sp macro="" textlink="">
      <xdr:nvSpPr>
        <xdr:cNvPr id="821" name="Text Box 4"/>
        <xdr:cNvSpPr txBox="1">
          <a:spLocks noChangeArrowheads="1"/>
        </xdr:cNvSpPr>
      </xdr:nvSpPr>
      <xdr:spPr bwMode="auto">
        <a:xfrm>
          <a:off x="0" y="37128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22"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23"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24"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128</xdr:row>
      <xdr:rowOff>0</xdr:rowOff>
    </xdr:from>
    <xdr:ext cx="266700" cy="38100"/>
    <xdr:sp macro="" textlink="">
      <xdr:nvSpPr>
        <xdr:cNvPr id="825" name="Text Box 4"/>
        <xdr:cNvSpPr txBox="1">
          <a:spLocks noChangeArrowheads="1"/>
        </xdr:cNvSpPr>
      </xdr:nvSpPr>
      <xdr:spPr bwMode="auto">
        <a:xfrm>
          <a:off x="0" y="37128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26"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27"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28"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29"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0"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1"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2"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3"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4"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5"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6"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37"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38"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39"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0"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1"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2"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3"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4"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5"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47625"/>
    <xdr:sp macro="" textlink="">
      <xdr:nvSpPr>
        <xdr:cNvPr id="846" name="Text Box 4"/>
        <xdr:cNvSpPr txBox="1">
          <a:spLocks noChangeArrowheads="1"/>
        </xdr:cNvSpPr>
      </xdr:nvSpPr>
      <xdr:spPr bwMode="auto">
        <a:xfrm>
          <a:off x="0" y="37290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47625"/>
    <xdr:sp macro="" textlink="">
      <xdr:nvSpPr>
        <xdr:cNvPr id="847" name="Text Box 4"/>
        <xdr:cNvSpPr txBox="1">
          <a:spLocks noChangeArrowheads="1"/>
        </xdr:cNvSpPr>
      </xdr:nvSpPr>
      <xdr:spPr bwMode="auto">
        <a:xfrm>
          <a:off x="0" y="37290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8"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49"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47625"/>
    <xdr:sp macro="" textlink="">
      <xdr:nvSpPr>
        <xdr:cNvPr id="850" name="Text Box 4"/>
        <xdr:cNvSpPr txBox="1">
          <a:spLocks noChangeArrowheads="1"/>
        </xdr:cNvSpPr>
      </xdr:nvSpPr>
      <xdr:spPr bwMode="auto">
        <a:xfrm>
          <a:off x="0" y="37290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47625"/>
    <xdr:sp macro="" textlink="">
      <xdr:nvSpPr>
        <xdr:cNvPr id="851" name="Text Box 4"/>
        <xdr:cNvSpPr txBox="1">
          <a:spLocks noChangeArrowheads="1"/>
        </xdr:cNvSpPr>
      </xdr:nvSpPr>
      <xdr:spPr bwMode="auto">
        <a:xfrm>
          <a:off x="0" y="372903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52"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53"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54"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55"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56"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57"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58"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59"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60"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61"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62"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63"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64"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66675" cy="57150"/>
    <xdr:sp macro="" textlink="">
      <xdr:nvSpPr>
        <xdr:cNvPr id="865" name="Text Box 4"/>
        <xdr:cNvSpPr txBox="1">
          <a:spLocks noChangeArrowheads="1"/>
        </xdr:cNvSpPr>
      </xdr:nvSpPr>
      <xdr:spPr bwMode="auto">
        <a:xfrm>
          <a:off x="0" y="372903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66"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67"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68"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129</xdr:row>
      <xdr:rowOff>0</xdr:rowOff>
    </xdr:from>
    <xdr:ext cx="266700" cy="38100"/>
    <xdr:sp macro="" textlink="">
      <xdr:nvSpPr>
        <xdr:cNvPr id="869" name="Text Box 4"/>
        <xdr:cNvSpPr txBox="1">
          <a:spLocks noChangeArrowheads="1"/>
        </xdr:cNvSpPr>
      </xdr:nvSpPr>
      <xdr:spPr bwMode="auto">
        <a:xfrm>
          <a:off x="0" y="372903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14"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15"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16"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17"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18"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19"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20"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21"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22"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23"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24"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25"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26"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27"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28"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29"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30"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31"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32"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33"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47625"/>
    <xdr:sp macro="" textlink="">
      <xdr:nvSpPr>
        <xdr:cNvPr id="934" name="Text Box 4"/>
        <xdr:cNvSpPr txBox="1">
          <a:spLocks noChangeArrowheads="1"/>
        </xdr:cNvSpPr>
      </xdr:nvSpPr>
      <xdr:spPr bwMode="auto">
        <a:xfrm>
          <a:off x="0" y="390715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47625"/>
    <xdr:sp macro="" textlink="">
      <xdr:nvSpPr>
        <xdr:cNvPr id="935" name="Text Box 4"/>
        <xdr:cNvSpPr txBox="1">
          <a:spLocks noChangeArrowheads="1"/>
        </xdr:cNvSpPr>
      </xdr:nvSpPr>
      <xdr:spPr bwMode="auto">
        <a:xfrm>
          <a:off x="0" y="390715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36"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37"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47625"/>
    <xdr:sp macro="" textlink="">
      <xdr:nvSpPr>
        <xdr:cNvPr id="938" name="Text Box 4"/>
        <xdr:cNvSpPr txBox="1">
          <a:spLocks noChangeArrowheads="1"/>
        </xdr:cNvSpPr>
      </xdr:nvSpPr>
      <xdr:spPr bwMode="auto">
        <a:xfrm>
          <a:off x="0" y="390715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47625"/>
    <xdr:sp macro="" textlink="">
      <xdr:nvSpPr>
        <xdr:cNvPr id="939" name="Text Box 4"/>
        <xdr:cNvSpPr txBox="1">
          <a:spLocks noChangeArrowheads="1"/>
        </xdr:cNvSpPr>
      </xdr:nvSpPr>
      <xdr:spPr bwMode="auto">
        <a:xfrm>
          <a:off x="0" y="390715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40"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41"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2"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3"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4"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5"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6"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7"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8"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49"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50"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51"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52"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66675" cy="57150"/>
    <xdr:sp macro="" textlink="">
      <xdr:nvSpPr>
        <xdr:cNvPr id="953" name="Text Box 4"/>
        <xdr:cNvSpPr txBox="1">
          <a:spLocks noChangeArrowheads="1"/>
        </xdr:cNvSpPr>
      </xdr:nvSpPr>
      <xdr:spPr bwMode="auto">
        <a:xfrm>
          <a:off x="0" y="390715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54"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55"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56"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266700" cy="38100"/>
    <xdr:sp macro="" textlink="">
      <xdr:nvSpPr>
        <xdr:cNvPr id="957" name="Text Box 4"/>
        <xdr:cNvSpPr txBox="1">
          <a:spLocks noChangeArrowheads="1"/>
        </xdr:cNvSpPr>
      </xdr:nvSpPr>
      <xdr:spPr bwMode="auto">
        <a:xfrm>
          <a:off x="0" y="390715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9"/>
  <sheetViews>
    <sheetView tabSelected="1" topLeftCell="A378" zoomScale="110" zoomScaleNormal="110" workbookViewId="0">
      <selection activeCell="D389" sqref="D389"/>
    </sheetView>
  </sheetViews>
  <sheetFormatPr baseColWidth="10" defaultRowHeight="12" x14ac:dyDescent="0.2"/>
  <cols>
    <col min="1" max="1" width="30.85546875" style="493" customWidth="1"/>
    <col min="2" max="2" width="11.7109375" style="670" customWidth="1"/>
    <col min="3" max="3" width="17" style="671" customWidth="1"/>
    <col min="4" max="4" width="16.28515625" style="672" customWidth="1"/>
    <col min="5" max="5" width="17.7109375" style="673" customWidth="1"/>
    <col min="6" max="6" width="13.7109375" style="527" customWidth="1"/>
    <col min="7" max="7" width="22.42578125" style="674" customWidth="1"/>
    <col min="8" max="8" width="16.140625" style="493" hidden="1" customWidth="1"/>
    <col min="9" max="9" width="25" style="675" customWidth="1"/>
    <col min="10" max="10" width="14.85546875" style="683" bestFit="1" customWidth="1"/>
    <col min="11" max="13" width="13.5703125" style="670" customWidth="1"/>
    <col min="14" max="14" width="14.85546875" style="670" bestFit="1" customWidth="1"/>
    <col min="15" max="15" width="12.42578125" style="670" bestFit="1" customWidth="1"/>
    <col min="16" max="16" width="14.85546875" style="670" bestFit="1" customWidth="1"/>
    <col min="17" max="17" width="13.42578125" style="670" bestFit="1" customWidth="1"/>
    <col min="18" max="16384" width="11.42578125" style="493"/>
  </cols>
  <sheetData>
    <row r="1" spans="1:27" ht="24.75" customHeight="1" x14ac:dyDescent="0.2">
      <c r="A1" s="710" t="s">
        <v>597</v>
      </c>
      <c r="B1" s="711"/>
      <c r="C1" s="711"/>
      <c r="D1" s="711"/>
      <c r="E1" s="711"/>
      <c r="F1" s="711"/>
      <c r="G1" s="711"/>
      <c r="H1" s="711"/>
      <c r="I1" s="712"/>
      <c r="J1" s="670"/>
    </row>
    <row r="2" spans="1:27" x14ac:dyDescent="0.2">
      <c r="A2" s="713" t="s">
        <v>9</v>
      </c>
      <c r="B2" s="714"/>
      <c r="C2" s="714"/>
      <c r="D2" s="714"/>
      <c r="E2" s="714"/>
      <c r="F2" s="714"/>
      <c r="G2" s="714"/>
      <c r="H2" s="714"/>
      <c r="I2" s="715"/>
      <c r="J2" s="670"/>
    </row>
    <row r="3" spans="1:27" x14ac:dyDescent="0.2">
      <c r="A3" s="494" t="s">
        <v>1</v>
      </c>
      <c r="B3" s="691" t="s">
        <v>2</v>
      </c>
      <c r="C3" s="692"/>
      <c r="D3" s="692"/>
      <c r="E3" s="692"/>
      <c r="F3" s="692"/>
      <c r="G3" s="692"/>
      <c r="H3" s="692"/>
      <c r="I3" s="693"/>
      <c r="J3" s="670"/>
    </row>
    <row r="4" spans="1:27" ht="12.75" customHeight="1" x14ac:dyDescent="0.2">
      <c r="A4" s="495" t="s">
        <v>3</v>
      </c>
      <c r="B4" s="707" t="s">
        <v>4</v>
      </c>
      <c r="C4" s="708"/>
      <c r="D4" s="708"/>
      <c r="E4" s="708"/>
      <c r="F4" s="708"/>
      <c r="G4" s="708"/>
      <c r="H4" s="708"/>
      <c r="I4" s="722"/>
      <c r="J4" s="670"/>
    </row>
    <row r="5" spans="1:27" s="498" customFormat="1" x14ac:dyDescent="0.2">
      <c r="A5" s="496" t="s">
        <v>5</v>
      </c>
      <c r="B5" s="716" t="s">
        <v>319</v>
      </c>
      <c r="C5" s="717"/>
      <c r="D5" s="717"/>
      <c r="E5" s="717"/>
      <c r="F5" s="717"/>
      <c r="G5" s="717"/>
      <c r="H5" s="717"/>
      <c r="I5" s="718"/>
      <c r="J5" s="497"/>
      <c r="K5" s="497"/>
      <c r="L5" s="497"/>
      <c r="M5" s="497"/>
      <c r="N5" s="497"/>
      <c r="O5" s="497"/>
      <c r="P5" s="497"/>
      <c r="Q5" s="497"/>
      <c r="R5" s="497"/>
      <c r="S5" s="497"/>
      <c r="T5" s="497"/>
      <c r="U5" s="497"/>
      <c r="V5" s="497"/>
      <c r="W5" s="497"/>
      <c r="X5" s="497"/>
      <c r="Y5" s="497"/>
      <c r="Z5" s="497"/>
      <c r="AA5" s="497"/>
    </row>
    <row r="6" spans="1:27" x14ac:dyDescent="0.2">
      <c r="A6" s="499" t="s">
        <v>6</v>
      </c>
      <c r="B6" s="691" t="s">
        <v>7</v>
      </c>
      <c r="C6" s="692"/>
      <c r="D6" s="692"/>
      <c r="E6" s="692"/>
      <c r="F6" s="692"/>
      <c r="G6" s="692"/>
      <c r="H6" s="692"/>
      <c r="I6" s="723"/>
      <c r="J6" s="670"/>
    </row>
    <row r="7" spans="1:27" x14ac:dyDescent="0.2">
      <c r="A7" s="494" t="s">
        <v>8</v>
      </c>
      <c r="B7" s="500" t="s">
        <v>9</v>
      </c>
      <c r="C7" s="501"/>
      <c r="D7" s="502"/>
      <c r="E7" s="502"/>
      <c r="F7" s="502"/>
      <c r="G7" s="502"/>
      <c r="H7" s="502"/>
      <c r="I7" s="503"/>
      <c r="J7" s="670"/>
    </row>
    <row r="8" spans="1:27" ht="42.75" customHeight="1" x14ac:dyDescent="0.2">
      <c r="A8" s="504" t="s">
        <v>10</v>
      </c>
      <c r="B8" s="505" t="s">
        <v>11</v>
      </c>
      <c r="C8" s="506" t="s">
        <v>12</v>
      </c>
      <c r="D8" s="507" t="s">
        <v>13</v>
      </c>
      <c r="E8" s="508" t="s">
        <v>14</v>
      </c>
      <c r="F8" s="505" t="s">
        <v>15</v>
      </c>
      <c r="G8" s="509" t="s">
        <v>16</v>
      </c>
      <c r="H8" s="505" t="s">
        <v>17</v>
      </c>
      <c r="I8" s="510" t="s">
        <v>18</v>
      </c>
      <c r="J8" s="679" t="s">
        <v>705</v>
      </c>
      <c r="K8" s="679" t="s">
        <v>702</v>
      </c>
      <c r="L8" s="679" t="s">
        <v>703</v>
      </c>
      <c r="M8" s="679" t="s">
        <v>702</v>
      </c>
      <c r="N8" s="679" t="s">
        <v>704</v>
      </c>
      <c r="O8" s="679" t="s">
        <v>702</v>
      </c>
      <c r="P8" s="679" t="s">
        <v>706</v>
      </c>
      <c r="Q8" s="679" t="s">
        <v>702</v>
      </c>
    </row>
    <row r="9" spans="1:27" ht="24" x14ac:dyDescent="0.2">
      <c r="A9" s="168" t="s">
        <v>71</v>
      </c>
      <c r="B9" s="482">
        <v>2</v>
      </c>
      <c r="C9" s="511">
        <v>99821937</v>
      </c>
      <c r="D9" s="424">
        <f>23408140+46317677</f>
        <v>69725817</v>
      </c>
      <c r="E9" s="490">
        <f>C9-D9</f>
        <v>30096120</v>
      </c>
      <c r="F9" s="491">
        <f>E9/C9</f>
        <v>0.30149805648431766</v>
      </c>
      <c r="G9" s="512" t="s">
        <v>627</v>
      </c>
      <c r="H9" s="505"/>
      <c r="I9" s="510"/>
      <c r="J9" s="680">
        <v>30096129</v>
      </c>
      <c r="K9" s="681">
        <f>E9-J9</f>
        <v>-9</v>
      </c>
      <c r="L9" s="680">
        <f>(J9/180)*135</f>
        <v>22572096.75</v>
      </c>
      <c r="M9" s="682">
        <f>E9-L9</f>
        <v>7524023.25</v>
      </c>
      <c r="N9" s="680">
        <f>(J9/180)*150</f>
        <v>25080107.5</v>
      </c>
      <c r="O9" s="682">
        <f>E9-N9</f>
        <v>5016012.5</v>
      </c>
      <c r="P9" s="680">
        <f>(J9/180)*165</f>
        <v>27588118.25</v>
      </c>
      <c r="Q9" s="682">
        <f>E9-P9</f>
        <v>2508001.75</v>
      </c>
    </row>
    <row r="10" spans="1:27" ht="24.75" customHeight="1" x14ac:dyDescent="0.2">
      <c r="A10" s="696" t="s">
        <v>320</v>
      </c>
      <c r="B10" s="697"/>
      <c r="C10" s="513">
        <f>C9</f>
        <v>99821937</v>
      </c>
      <c r="D10" s="514">
        <f>D9</f>
        <v>69725817</v>
      </c>
      <c r="E10" s="514">
        <f>E9</f>
        <v>30096120</v>
      </c>
      <c r="F10" s="515">
        <f>E10/C10</f>
        <v>0.30149805648431766</v>
      </c>
      <c r="G10" s="516"/>
      <c r="H10" s="517"/>
      <c r="I10" s="518"/>
      <c r="J10" s="670"/>
    </row>
    <row r="11" spans="1:27" ht="24.75" customHeight="1" x14ac:dyDescent="0.2">
      <c r="A11" s="719" t="s">
        <v>21</v>
      </c>
      <c r="B11" s="720"/>
      <c r="C11" s="720"/>
      <c r="D11" s="720"/>
      <c r="E11" s="720"/>
      <c r="F11" s="720"/>
      <c r="G11" s="720"/>
      <c r="H11" s="720"/>
      <c r="I11" s="721"/>
      <c r="J11" s="670"/>
    </row>
    <row r="12" spans="1:27" ht="12.75" customHeight="1" x14ac:dyDescent="0.2">
      <c r="A12" s="494" t="s">
        <v>25</v>
      </c>
      <c r="B12" s="691" t="s">
        <v>26</v>
      </c>
      <c r="C12" s="692"/>
      <c r="D12" s="692"/>
      <c r="E12" s="692"/>
      <c r="F12" s="692"/>
      <c r="G12" s="692"/>
      <c r="H12" s="692"/>
      <c r="I12" s="693"/>
    </row>
    <row r="13" spans="1:27" x14ac:dyDescent="0.2">
      <c r="A13" s="494" t="s">
        <v>3</v>
      </c>
      <c r="B13" s="691" t="s">
        <v>27</v>
      </c>
      <c r="C13" s="692"/>
      <c r="D13" s="692"/>
      <c r="E13" s="692"/>
      <c r="F13" s="692"/>
      <c r="G13" s="692"/>
      <c r="H13" s="692"/>
      <c r="I13" s="693"/>
    </row>
    <row r="14" spans="1:27" ht="12.75" customHeight="1" x14ac:dyDescent="0.2">
      <c r="A14" s="494" t="s">
        <v>5</v>
      </c>
      <c r="B14" s="707" t="s">
        <v>28</v>
      </c>
      <c r="C14" s="708"/>
      <c r="D14" s="708"/>
      <c r="E14" s="708"/>
      <c r="F14" s="708"/>
      <c r="G14" s="708"/>
      <c r="H14" s="708"/>
      <c r="I14" s="709"/>
    </row>
    <row r="15" spans="1:27" ht="12.75" customHeight="1" x14ac:dyDescent="0.2">
      <c r="A15" s="494" t="s">
        <v>6</v>
      </c>
      <c r="B15" s="691" t="s">
        <v>7</v>
      </c>
      <c r="C15" s="692"/>
      <c r="D15" s="692"/>
      <c r="E15" s="692"/>
      <c r="F15" s="692"/>
      <c r="G15" s="692"/>
      <c r="H15" s="692"/>
      <c r="I15" s="693"/>
    </row>
    <row r="16" spans="1:27" ht="21" customHeight="1" x14ac:dyDescent="0.2">
      <c r="A16" s="519" t="s">
        <v>8</v>
      </c>
      <c r="B16" s="701" t="s">
        <v>21</v>
      </c>
      <c r="C16" s="702"/>
      <c r="D16" s="702"/>
      <c r="E16" s="702"/>
      <c r="F16" s="702"/>
      <c r="G16" s="702"/>
      <c r="H16" s="702"/>
      <c r="I16" s="703"/>
    </row>
    <row r="17" spans="1:17" ht="36" x14ac:dyDescent="0.2">
      <c r="A17" s="504" t="s">
        <v>10</v>
      </c>
      <c r="B17" s="505" t="s">
        <v>11</v>
      </c>
      <c r="C17" s="506" t="s">
        <v>12</v>
      </c>
      <c r="D17" s="507" t="s">
        <v>13</v>
      </c>
      <c r="E17" s="508" t="s">
        <v>14</v>
      </c>
      <c r="F17" s="505" t="s">
        <v>15</v>
      </c>
      <c r="G17" s="509" t="s">
        <v>16</v>
      </c>
      <c r="H17" s="505" t="s">
        <v>17</v>
      </c>
      <c r="I17" s="510" t="s">
        <v>18</v>
      </c>
    </row>
    <row r="18" spans="1:17" ht="203.25" customHeight="1" x14ac:dyDescent="0.2">
      <c r="A18" s="119" t="s">
        <v>628</v>
      </c>
      <c r="B18" s="482">
        <v>7</v>
      </c>
      <c r="C18" s="520">
        <v>555262154</v>
      </c>
      <c r="D18" s="521">
        <f>440050960</f>
        <v>440050960</v>
      </c>
      <c r="E18" s="490">
        <f>C18-D18</f>
        <v>115211194</v>
      </c>
      <c r="F18" s="491">
        <f>E18/C18</f>
        <v>0.20748972925678633</v>
      </c>
      <c r="G18" s="522" t="s">
        <v>691</v>
      </c>
      <c r="H18" s="523"/>
      <c r="I18" s="524"/>
      <c r="J18" s="683">
        <f>E18</f>
        <v>115211194</v>
      </c>
      <c r="K18" s="681">
        <f>E18-J18</f>
        <v>0</v>
      </c>
      <c r="L18" s="680">
        <f>(J18/180)*135</f>
        <v>86408395.5</v>
      </c>
      <c r="M18" s="682">
        <f>E18-L18</f>
        <v>28802798.5</v>
      </c>
      <c r="N18" s="680">
        <f>(J18/180)*150</f>
        <v>96009328.333333343</v>
      </c>
      <c r="O18" s="682">
        <f>E18-N18</f>
        <v>19201865.666666657</v>
      </c>
      <c r="P18" s="680">
        <f>(J18/180)*165</f>
        <v>105610261.16666667</v>
      </c>
      <c r="Q18" s="682">
        <f>E18-P18</f>
        <v>9600932.8333333284</v>
      </c>
    </row>
    <row r="19" spans="1:17" x14ac:dyDescent="0.2">
      <c r="A19" s="696" t="s">
        <v>219</v>
      </c>
      <c r="B19" s="697"/>
      <c r="C19" s="513">
        <f>SUM(C17:C18)</f>
        <v>555262154</v>
      </c>
      <c r="D19" s="513">
        <f>SUM(D17:D18)</f>
        <v>440050960</v>
      </c>
      <c r="E19" s="513">
        <f>SUM(E17:E18)</f>
        <v>115211194</v>
      </c>
      <c r="F19" s="515">
        <f>E19/C19</f>
        <v>0.20748972925678633</v>
      </c>
      <c r="G19" s="516"/>
      <c r="H19" s="517"/>
      <c r="I19" s="518"/>
      <c r="J19" s="670"/>
    </row>
    <row r="20" spans="1:17" x14ac:dyDescent="0.2">
      <c r="A20" s="704" t="s">
        <v>29</v>
      </c>
      <c r="B20" s="705"/>
      <c r="C20" s="705"/>
      <c r="D20" s="705"/>
      <c r="E20" s="705"/>
      <c r="F20" s="705"/>
      <c r="G20" s="705"/>
      <c r="H20" s="705"/>
      <c r="I20" s="706"/>
      <c r="J20" s="670"/>
    </row>
    <row r="21" spans="1:17" ht="12.75" customHeight="1" x14ac:dyDescent="0.2">
      <c r="A21" s="494" t="s">
        <v>1</v>
      </c>
      <c r="B21" s="691" t="s">
        <v>45</v>
      </c>
      <c r="C21" s="692"/>
      <c r="D21" s="692"/>
      <c r="E21" s="692"/>
      <c r="F21" s="692"/>
      <c r="G21" s="692"/>
      <c r="H21" s="692"/>
      <c r="I21" s="693"/>
      <c r="J21" s="670"/>
    </row>
    <row r="22" spans="1:17" x14ac:dyDescent="0.2">
      <c r="A22" s="494" t="s">
        <v>3</v>
      </c>
      <c r="B22" s="691" t="s">
        <v>4</v>
      </c>
      <c r="C22" s="692"/>
      <c r="D22" s="692"/>
      <c r="E22" s="692"/>
      <c r="F22" s="692"/>
      <c r="G22" s="692"/>
      <c r="H22" s="692"/>
      <c r="I22" s="693"/>
      <c r="J22" s="670"/>
    </row>
    <row r="23" spans="1:17" ht="12.75" customHeight="1" x14ac:dyDescent="0.2">
      <c r="A23" s="494" t="s">
        <v>5</v>
      </c>
      <c r="B23" s="691" t="s">
        <v>213</v>
      </c>
      <c r="C23" s="692"/>
      <c r="D23" s="692"/>
      <c r="E23" s="692"/>
      <c r="F23" s="692"/>
      <c r="G23" s="692"/>
      <c r="H23" s="692"/>
      <c r="I23" s="693"/>
      <c r="J23" s="670"/>
    </row>
    <row r="24" spans="1:17" x14ac:dyDescent="0.2">
      <c r="A24" s="494" t="s">
        <v>6</v>
      </c>
      <c r="B24" s="691" t="s">
        <v>7</v>
      </c>
      <c r="C24" s="692"/>
      <c r="D24" s="692"/>
      <c r="E24" s="692"/>
      <c r="F24" s="692"/>
      <c r="G24" s="692"/>
      <c r="H24" s="692"/>
      <c r="I24" s="693"/>
      <c r="J24" s="670"/>
    </row>
    <row r="25" spans="1:17" x14ac:dyDescent="0.2">
      <c r="A25" s="494" t="s">
        <v>8</v>
      </c>
      <c r="B25" s="691" t="s">
        <v>29</v>
      </c>
      <c r="C25" s="692"/>
      <c r="D25" s="692"/>
      <c r="E25" s="692"/>
      <c r="F25" s="692"/>
      <c r="G25" s="692"/>
      <c r="H25" s="692"/>
      <c r="I25" s="693"/>
      <c r="J25" s="670"/>
    </row>
    <row r="26" spans="1:17" ht="49.5" customHeight="1" x14ac:dyDescent="0.2">
      <c r="A26" s="504" t="s">
        <v>10</v>
      </c>
      <c r="B26" s="505" t="s">
        <v>11</v>
      </c>
      <c r="C26" s="506" t="s">
        <v>12</v>
      </c>
      <c r="D26" s="507" t="s">
        <v>13</v>
      </c>
      <c r="E26" s="508" t="s">
        <v>14</v>
      </c>
      <c r="F26" s="505" t="s">
        <v>15</v>
      </c>
      <c r="G26" s="509" t="s">
        <v>16</v>
      </c>
      <c r="H26" s="505" t="s">
        <v>17</v>
      </c>
      <c r="I26" s="510" t="s">
        <v>18</v>
      </c>
      <c r="J26" s="670"/>
    </row>
    <row r="27" spans="1:17" s="526" customFormat="1" ht="258" customHeight="1" x14ac:dyDescent="0.2">
      <c r="A27" s="119" t="s">
        <v>629</v>
      </c>
      <c r="B27" s="423">
        <v>6</v>
      </c>
      <c r="C27" s="525">
        <v>716403070</v>
      </c>
      <c r="D27" s="483">
        <f>576682548+57283200</f>
        <v>633965748</v>
      </c>
      <c r="E27" s="490">
        <f>C27-D27</f>
        <v>82437322</v>
      </c>
      <c r="F27" s="491">
        <f>E27/C27</f>
        <v>0.11507114563314197</v>
      </c>
      <c r="G27" s="522" t="s">
        <v>657</v>
      </c>
      <c r="H27" s="413"/>
      <c r="I27" s="114"/>
      <c r="J27" s="684">
        <v>145614739</v>
      </c>
      <c r="K27" s="681">
        <f>E27-J27</f>
        <v>-63177417</v>
      </c>
      <c r="L27" s="680">
        <f>(J27/180)*135</f>
        <v>109211054.25</v>
      </c>
      <c r="M27" s="682">
        <f>E27-L27</f>
        <v>-26773732.25</v>
      </c>
      <c r="N27" s="680">
        <f>(J27/180)*150</f>
        <v>121345615.83333333</v>
      </c>
      <c r="O27" s="682">
        <f>E27-N27</f>
        <v>-38908293.833333328</v>
      </c>
      <c r="P27" s="680">
        <f>(J27/180)*165</f>
        <v>133480177.41666666</v>
      </c>
      <c r="Q27" s="682">
        <f>E27-P27</f>
        <v>-51042855.416666657</v>
      </c>
    </row>
    <row r="28" spans="1:17" x14ac:dyDescent="0.2">
      <c r="A28" s="494" t="s">
        <v>1</v>
      </c>
      <c r="B28" s="691" t="s">
        <v>45</v>
      </c>
      <c r="C28" s="692"/>
      <c r="D28" s="692"/>
      <c r="E28" s="692"/>
      <c r="F28" s="692"/>
      <c r="G28" s="692"/>
      <c r="H28" s="692"/>
      <c r="I28" s="693"/>
      <c r="J28" s="679"/>
    </row>
    <row r="29" spans="1:17" x14ac:dyDescent="0.2">
      <c r="A29" s="494" t="s">
        <v>3</v>
      </c>
      <c r="B29" s="691" t="s">
        <v>466</v>
      </c>
      <c r="C29" s="692"/>
      <c r="D29" s="692"/>
      <c r="E29" s="692"/>
      <c r="F29" s="692"/>
      <c r="G29" s="692"/>
      <c r="H29" s="692"/>
      <c r="I29" s="693"/>
      <c r="J29" s="670"/>
    </row>
    <row r="30" spans="1:17" s="528" customFormat="1" ht="12.75" customHeight="1" x14ac:dyDescent="0.2">
      <c r="A30" s="494" t="s">
        <v>5</v>
      </c>
      <c r="B30" s="707" t="s">
        <v>465</v>
      </c>
      <c r="C30" s="708"/>
      <c r="D30" s="708"/>
      <c r="E30" s="708"/>
      <c r="F30" s="708"/>
      <c r="G30" s="708"/>
      <c r="H30" s="708"/>
      <c r="I30" s="709"/>
      <c r="J30" s="670"/>
      <c r="K30" s="670"/>
      <c r="L30" s="670"/>
      <c r="M30" s="670"/>
      <c r="N30" s="670"/>
      <c r="O30" s="670"/>
      <c r="P30" s="670"/>
      <c r="Q30" s="670"/>
    </row>
    <row r="31" spans="1:17" x14ac:dyDescent="0.2">
      <c r="A31" s="494" t="s">
        <v>6</v>
      </c>
      <c r="B31" s="701" t="s">
        <v>7</v>
      </c>
      <c r="C31" s="702"/>
      <c r="D31" s="702"/>
      <c r="E31" s="702"/>
      <c r="F31" s="702"/>
      <c r="G31" s="702"/>
      <c r="H31" s="702"/>
      <c r="I31" s="703"/>
      <c r="J31" s="670"/>
    </row>
    <row r="32" spans="1:17" x14ac:dyDescent="0.2">
      <c r="A32" s="494" t="s">
        <v>8</v>
      </c>
      <c r="B32" s="691" t="s">
        <v>29</v>
      </c>
      <c r="C32" s="692"/>
      <c r="D32" s="692"/>
      <c r="E32" s="692"/>
      <c r="F32" s="692"/>
      <c r="G32" s="692"/>
      <c r="H32" s="692"/>
      <c r="I32" s="693"/>
      <c r="J32" s="670"/>
    </row>
    <row r="33" spans="1:10" ht="36" x14ac:dyDescent="0.2">
      <c r="A33" s="504" t="s">
        <v>10</v>
      </c>
      <c r="B33" s="505" t="s">
        <v>11</v>
      </c>
      <c r="C33" s="506" t="s">
        <v>12</v>
      </c>
      <c r="D33" s="507" t="s">
        <v>13</v>
      </c>
      <c r="E33" s="508" t="s">
        <v>14</v>
      </c>
      <c r="F33" s="505" t="s">
        <v>15</v>
      </c>
      <c r="G33" s="509" t="s">
        <v>16</v>
      </c>
      <c r="H33" s="505" t="s">
        <v>17</v>
      </c>
      <c r="I33" s="510" t="s">
        <v>18</v>
      </c>
      <c r="J33" s="670"/>
    </row>
    <row r="34" spans="1:10" ht="157.5" customHeight="1" x14ac:dyDescent="0.2">
      <c r="A34" s="529" t="s">
        <v>223</v>
      </c>
      <c r="B34" s="530">
        <v>14</v>
      </c>
      <c r="C34" s="531">
        <v>5000000</v>
      </c>
      <c r="D34" s="521">
        <v>0</v>
      </c>
      <c r="E34" s="490">
        <f t="shared" ref="E34:E39" si="0">C34-D34</f>
        <v>5000000</v>
      </c>
      <c r="F34" s="491">
        <f t="shared" ref="F34:F39" si="1">E34/C34</f>
        <v>1</v>
      </c>
      <c r="G34" s="509"/>
      <c r="H34" s="505"/>
      <c r="I34" s="510" t="s">
        <v>651</v>
      </c>
      <c r="J34" s="670"/>
    </row>
    <row r="35" spans="1:10" ht="112.5" customHeight="1" x14ac:dyDescent="0.2">
      <c r="A35" s="529" t="s">
        <v>469</v>
      </c>
      <c r="B35" s="530">
        <v>11</v>
      </c>
      <c r="C35" s="531">
        <v>0</v>
      </c>
      <c r="D35" s="521">
        <v>0</v>
      </c>
      <c r="E35" s="490">
        <f t="shared" si="0"/>
        <v>0</v>
      </c>
      <c r="F35" s="491" t="e">
        <f t="shared" si="1"/>
        <v>#DIV/0!</v>
      </c>
      <c r="G35" s="509"/>
      <c r="H35" s="505"/>
      <c r="I35" s="510" t="s">
        <v>652</v>
      </c>
      <c r="J35" s="670"/>
    </row>
    <row r="36" spans="1:10" ht="58.5" customHeight="1" x14ac:dyDescent="0.2">
      <c r="A36" s="532" t="s">
        <v>470</v>
      </c>
      <c r="B36" s="530">
        <v>6</v>
      </c>
      <c r="C36" s="531">
        <v>0</v>
      </c>
      <c r="D36" s="521">
        <v>0</v>
      </c>
      <c r="E36" s="490">
        <f t="shared" si="0"/>
        <v>0</v>
      </c>
      <c r="F36" s="491" t="e">
        <f t="shared" si="1"/>
        <v>#DIV/0!</v>
      </c>
      <c r="G36" s="509"/>
      <c r="H36" s="505"/>
      <c r="I36" s="510" t="s">
        <v>653</v>
      </c>
      <c r="J36" s="670"/>
    </row>
    <row r="37" spans="1:10" ht="25.5" customHeight="1" x14ac:dyDescent="0.2">
      <c r="A37" s="533" t="s">
        <v>22</v>
      </c>
      <c r="B37" s="530">
        <v>6</v>
      </c>
      <c r="C37" s="531">
        <v>0</v>
      </c>
      <c r="D37" s="521">
        <v>0</v>
      </c>
      <c r="E37" s="490">
        <f t="shared" si="0"/>
        <v>0</v>
      </c>
      <c r="F37" s="491" t="e">
        <f t="shared" si="1"/>
        <v>#DIV/0!</v>
      </c>
      <c r="G37" s="509"/>
      <c r="H37" s="505"/>
      <c r="I37" s="510" t="s">
        <v>654</v>
      </c>
      <c r="J37" s="670"/>
    </row>
    <row r="38" spans="1:10" ht="45" customHeight="1" x14ac:dyDescent="0.2">
      <c r="A38" s="529" t="s">
        <v>23</v>
      </c>
      <c r="B38" s="530" t="s">
        <v>225</v>
      </c>
      <c r="C38" s="531">
        <v>7000000</v>
      </c>
      <c r="D38" s="521">
        <v>0</v>
      </c>
      <c r="E38" s="490">
        <f t="shared" si="0"/>
        <v>7000000</v>
      </c>
      <c r="F38" s="491">
        <f t="shared" si="1"/>
        <v>1</v>
      </c>
      <c r="G38" s="509"/>
      <c r="H38" s="505"/>
      <c r="I38" s="510" t="s">
        <v>655</v>
      </c>
      <c r="J38" s="670"/>
    </row>
    <row r="39" spans="1:10" ht="60.75" customHeight="1" x14ac:dyDescent="0.2">
      <c r="A39" s="529" t="s">
        <v>471</v>
      </c>
      <c r="B39" s="530">
        <v>6</v>
      </c>
      <c r="C39" s="531">
        <v>2000000</v>
      </c>
      <c r="D39" s="521">
        <v>0</v>
      </c>
      <c r="E39" s="490">
        <f t="shared" si="0"/>
        <v>2000000</v>
      </c>
      <c r="F39" s="491">
        <f t="shared" si="1"/>
        <v>1</v>
      </c>
      <c r="G39" s="509"/>
      <c r="H39" s="505"/>
      <c r="I39" s="510" t="s">
        <v>656</v>
      </c>
      <c r="J39" s="670"/>
    </row>
    <row r="40" spans="1:10" ht="25.5" customHeight="1" x14ac:dyDescent="0.2">
      <c r="A40" s="696" t="s">
        <v>34</v>
      </c>
      <c r="B40" s="697"/>
      <c r="C40" s="513">
        <f>SUM(C27:C39)</f>
        <v>730403070</v>
      </c>
      <c r="D40" s="513">
        <f>SUM(D27:D39)</f>
        <v>633965748</v>
      </c>
      <c r="E40" s="513">
        <f>SUM(E27:E39)</f>
        <v>96437322</v>
      </c>
      <c r="F40" s="515">
        <f>E40/C40</f>
        <v>0.13203301842638751</v>
      </c>
      <c r="G40" s="516"/>
      <c r="H40" s="517"/>
      <c r="I40" s="518"/>
    </row>
    <row r="41" spans="1:10" x14ac:dyDescent="0.2">
      <c r="A41" s="704" t="s">
        <v>44</v>
      </c>
      <c r="B41" s="705"/>
      <c r="C41" s="705"/>
      <c r="D41" s="705"/>
      <c r="E41" s="705"/>
      <c r="F41" s="705"/>
      <c r="G41" s="705"/>
      <c r="H41" s="705"/>
      <c r="I41" s="706"/>
    </row>
    <row r="42" spans="1:10" x14ac:dyDescent="0.2">
      <c r="A42" s="494" t="s">
        <v>1</v>
      </c>
      <c r="B42" s="691" t="s">
        <v>45</v>
      </c>
      <c r="C42" s="692"/>
      <c r="D42" s="692"/>
      <c r="E42" s="692"/>
      <c r="F42" s="692"/>
      <c r="G42" s="692"/>
      <c r="H42" s="692"/>
      <c r="I42" s="693"/>
    </row>
    <row r="43" spans="1:10" x14ac:dyDescent="0.2">
      <c r="A43" s="494" t="s">
        <v>3</v>
      </c>
      <c r="B43" s="691" t="s">
        <v>46</v>
      </c>
      <c r="C43" s="692"/>
      <c r="D43" s="692"/>
      <c r="E43" s="692"/>
      <c r="F43" s="692"/>
      <c r="G43" s="692"/>
      <c r="H43" s="692"/>
      <c r="I43" s="693"/>
    </row>
    <row r="44" spans="1:10" ht="12.75" customHeight="1" x14ac:dyDescent="0.2">
      <c r="A44" s="494" t="s">
        <v>5</v>
      </c>
      <c r="B44" s="691" t="s">
        <v>47</v>
      </c>
      <c r="C44" s="692"/>
      <c r="D44" s="692"/>
      <c r="E44" s="692"/>
      <c r="F44" s="692"/>
      <c r="G44" s="692"/>
      <c r="H44" s="692"/>
      <c r="I44" s="693"/>
    </row>
    <row r="45" spans="1:10" x14ac:dyDescent="0.2">
      <c r="A45" s="494" t="s">
        <v>6</v>
      </c>
      <c r="B45" s="691" t="s">
        <v>48</v>
      </c>
      <c r="C45" s="692"/>
      <c r="D45" s="692"/>
      <c r="E45" s="692"/>
      <c r="F45" s="692"/>
      <c r="G45" s="692"/>
      <c r="H45" s="692"/>
      <c r="I45" s="693"/>
    </row>
    <row r="46" spans="1:10" x14ac:dyDescent="0.2">
      <c r="A46" s="494" t="s">
        <v>8</v>
      </c>
      <c r="B46" s="691" t="s">
        <v>44</v>
      </c>
      <c r="C46" s="692"/>
      <c r="D46" s="692"/>
      <c r="E46" s="692"/>
      <c r="F46" s="692"/>
      <c r="G46" s="692"/>
      <c r="H46" s="692"/>
      <c r="I46" s="693"/>
    </row>
    <row r="47" spans="1:10" ht="36" x14ac:dyDescent="0.2">
      <c r="A47" s="504" t="s">
        <v>10</v>
      </c>
      <c r="B47" s="505" t="s">
        <v>11</v>
      </c>
      <c r="C47" s="506" t="s">
        <v>12</v>
      </c>
      <c r="D47" s="507" t="s">
        <v>13</v>
      </c>
      <c r="E47" s="508" t="s">
        <v>14</v>
      </c>
      <c r="F47" s="505" t="s">
        <v>15</v>
      </c>
      <c r="G47" s="509" t="s">
        <v>16</v>
      </c>
      <c r="H47" s="505" t="s">
        <v>17</v>
      </c>
      <c r="I47" s="510" t="s">
        <v>18</v>
      </c>
    </row>
    <row r="48" spans="1:10" ht="39.75" customHeight="1" x14ac:dyDescent="0.2">
      <c r="A48" s="534" t="s">
        <v>226</v>
      </c>
      <c r="B48" s="535">
        <v>8</v>
      </c>
      <c r="C48" s="536">
        <v>0</v>
      </c>
      <c r="D48" s="521">
        <v>0</v>
      </c>
      <c r="E48" s="490">
        <f>C48-D48</f>
        <v>0</v>
      </c>
      <c r="F48" s="491" t="e">
        <f>E48/C48</f>
        <v>#DIV/0!</v>
      </c>
      <c r="G48" s="537"/>
      <c r="H48" s="413"/>
      <c r="I48" s="510" t="s">
        <v>658</v>
      </c>
    </row>
    <row r="49" spans="1:17" ht="50.25" customHeight="1" x14ac:dyDescent="0.2">
      <c r="A49" s="538" t="s">
        <v>49</v>
      </c>
      <c r="B49" s="535">
        <v>17</v>
      </c>
      <c r="C49" s="539">
        <v>0</v>
      </c>
      <c r="D49" s="521">
        <v>0</v>
      </c>
      <c r="E49" s="490">
        <f>C49-D49</f>
        <v>0</v>
      </c>
      <c r="F49" s="491" t="e">
        <f>E49/C49</f>
        <v>#DIV/0!</v>
      </c>
      <c r="G49" s="537"/>
      <c r="H49" s="413"/>
      <c r="I49" s="510" t="s">
        <v>659</v>
      </c>
    </row>
    <row r="50" spans="1:17" ht="63.75" customHeight="1" x14ac:dyDescent="0.2">
      <c r="A50" s="540" t="s">
        <v>227</v>
      </c>
      <c r="B50" s="535">
        <v>6</v>
      </c>
      <c r="C50" s="539">
        <v>4000000</v>
      </c>
      <c r="D50" s="521">
        <v>0</v>
      </c>
      <c r="E50" s="490">
        <f>C50-D50</f>
        <v>4000000</v>
      </c>
      <c r="F50" s="491">
        <f>E50/C50</f>
        <v>1</v>
      </c>
      <c r="G50" s="537"/>
      <c r="H50" s="413"/>
      <c r="I50" s="510" t="s">
        <v>660</v>
      </c>
    </row>
    <row r="51" spans="1:17" ht="38.25" customHeight="1" x14ac:dyDescent="0.2">
      <c r="A51" s="540" t="s">
        <v>228</v>
      </c>
      <c r="B51" s="535">
        <v>6</v>
      </c>
      <c r="C51" s="539">
        <v>0</v>
      </c>
      <c r="D51" s="521">
        <v>0</v>
      </c>
      <c r="E51" s="490">
        <f>C51-D51</f>
        <v>0</v>
      </c>
      <c r="F51" s="491" t="e">
        <f>E51/C51</f>
        <v>#DIV/0!</v>
      </c>
      <c r="G51" s="537"/>
      <c r="H51" s="413"/>
      <c r="I51" s="510" t="s">
        <v>661</v>
      </c>
    </row>
    <row r="52" spans="1:17" s="526" customFormat="1" ht="39" customHeight="1" x14ac:dyDescent="0.2">
      <c r="A52" s="540" t="s">
        <v>229</v>
      </c>
      <c r="B52" s="535">
        <v>3</v>
      </c>
      <c r="C52" s="539">
        <v>0</v>
      </c>
      <c r="D52" s="521">
        <v>0</v>
      </c>
      <c r="E52" s="490">
        <f t="shared" ref="E52:E56" si="2">C52-D52</f>
        <v>0</v>
      </c>
      <c r="F52" s="491" t="e">
        <f t="shared" ref="F52:F56" si="3">E52/C52</f>
        <v>#DIV/0!</v>
      </c>
      <c r="G52" s="537"/>
      <c r="H52" s="413"/>
      <c r="I52" s="510" t="s">
        <v>662</v>
      </c>
      <c r="J52" s="685"/>
      <c r="K52" s="686"/>
      <c r="L52" s="686"/>
      <c r="M52" s="686"/>
      <c r="N52" s="686"/>
      <c r="O52" s="686"/>
      <c r="P52" s="686"/>
      <c r="Q52" s="686"/>
    </row>
    <row r="53" spans="1:17" s="526" customFormat="1" ht="46.5" customHeight="1" x14ac:dyDescent="0.2">
      <c r="A53" s="540" t="s">
        <v>577</v>
      </c>
      <c r="B53" s="535">
        <v>10</v>
      </c>
      <c r="C53" s="539">
        <v>0</v>
      </c>
      <c r="D53" s="521">
        <v>0</v>
      </c>
      <c r="E53" s="490">
        <f t="shared" si="2"/>
        <v>0</v>
      </c>
      <c r="F53" s="491" t="e">
        <f t="shared" si="3"/>
        <v>#DIV/0!</v>
      </c>
      <c r="G53" s="537"/>
      <c r="H53" s="413"/>
      <c r="I53" s="510" t="s">
        <v>658</v>
      </c>
      <c r="J53" s="685"/>
      <c r="K53" s="686"/>
      <c r="L53" s="686"/>
      <c r="M53" s="686"/>
      <c r="N53" s="686"/>
      <c r="O53" s="686"/>
      <c r="P53" s="686"/>
      <c r="Q53" s="686"/>
    </row>
    <row r="54" spans="1:17" s="526" customFormat="1" ht="28.5" customHeight="1" x14ac:dyDescent="0.2">
      <c r="A54" s="541" t="s">
        <v>578</v>
      </c>
      <c r="B54" s="535">
        <v>4</v>
      </c>
      <c r="C54" s="539">
        <v>5000000</v>
      </c>
      <c r="D54" s="521">
        <v>0</v>
      </c>
      <c r="E54" s="490">
        <f t="shared" si="2"/>
        <v>5000000</v>
      </c>
      <c r="F54" s="491">
        <f t="shared" si="3"/>
        <v>1</v>
      </c>
      <c r="G54" s="537"/>
      <c r="H54" s="413"/>
      <c r="I54" s="510" t="s">
        <v>664</v>
      </c>
      <c r="J54" s="685"/>
      <c r="K54" s="686"/>
      <c r="L54" s="686"/>
      <c r="M54" s="686"/>
      <c r="N54" s="686"/>
      <c r="O54" s="686"/>
      <c r="P54" s="686"/>
      <c r="Q54" s="686"/>
    </row>
    <row r="55" spans="1:17" s="526" customFormat="1" ht="37.5" customHeight="1" x14ac:dyDescent="0.2">
      <c r="A55" s="541" t="s">
        <v>579</v>
      </c>
      <c r="B55" s="535">
        <v>2</v>
      </c>
      <c r="C55" s="539">
        <v>10000000</v>
      </c>
      <c r="D55" s="521">
        <v>0</v>
      </c>
      <c r="E55" s="490">
        <f t="shared" si="2"/>
        <v>10000000</v>
      </c>
      <c r="F55" s="491">
        <f t="shared" si="3"/>
        <v>1</v>
      </c>
      <c r="G55" s="537"/>
      <c r="H55" s="413"/>
      <c r="I55" s="510"/>
      <c r="J55" s="685"/>
      <c r="K55" s="686"/>
      <c r="L55" s="686"/>
      <c r="M55" s="686"/>
      <c r="N55" s="686"/>
      <c r="O55" s="686"/>
      <c r="P55" s="686"/>
      <c r="Q55" s="686"/>
    </row>
    <row r="56" spans="1:17" s="526" customFormat="1" ht="96" customHeight="1" x14ac:dyDescent="0.2">
      <c r="A56" s="541" t="s">
        <v>71</v>
      </c>
      <c r="B56" s="535">
        <v>5</v>
      </c>
      <c r="C56" s="542">
        <v>430988110</v>
      </c>
      <c r="D56" s="543">
        <v>376490086</v>
      </c>
      <c r="E56" s="490">
        <f t="shared" si="2"/>
        <v>54498024</v>
      </c>
      <c r="F56" s="491">
        <f t="shared" si="3"/>
        <v>0.12644901967249167</v>
      </c>
      <c r="G56" s="537" t="s">
        <v>624</v>
      </c>
      <c r="H56" s="413"/>
      <c r="I56" s="114"/>
      <c r="J56" s="685">
        <v>48803804</v>
      </c>
      <c r="K56" s="681">
        <f>E56-J56</f>
        <v>5694220</v>
      </c>
      <c r="L56" s="680">
        <f>(J56/180)*135</f>
        <v>36602853</v>
      </c>
      <c r="M56" s="682">
        <f>E56-L56</f>
        <v>17895171</v>
      </c>
      <c r="N56" s="680">
        <f>(J56/180)*150</f>
        <v>40669836.666666664</v>
      </c>
      <c r="O56" s="682">
        <f>E56-N56</f>
        <v>13828187.333333336</v>
      </c>
      <c r="P56" s="680">
        <f>(J56/180)*165</f>
        <v>44736820.333333328</v>
      </c>
      <c r="Q56" s="682">
        <f>E56-P56</f>
        <v>9761203.6666666716</v>
      </c>
    </row>
    <row r="57" spans="1:17" x14ac:dyDescent="0.2">
      <c r="A57" s="494" t="s">
        <v>1</v>
      </c>
      <c r="B57" s="691" t="s">
        <v>45</v>
      </c>
      <c r="C57" s="692"/>
      <c r="D57" s="692"/>
      <c r="E57" s="692"/>
      <c r="F57" s="692"/>
      <c r="G57" s="692"/>
      <c r="H57" s="692"/>
      <c r="I57" s="693"/>
      <c r="J57" s="670"/>
    </row>
    <row r="58" spans="1:17" x14ac:dyDescent="0.2">
      <c r="A58" s="494" t="s">
        <v>3</v>
      </c>
      <c r="B58" s="691" t="s">
        <v>46</v>
      </c>
      <c r="C58" s="692"/>
      <c r="D58" s="692"/>
      <c r="E58" s="692"/>
      <c r="F58" s="692"/>
      <c r="G58" s="692"/>
      <c r="H58" s="692"/>
      <c r="I58" s="693"/>
      <c r="J58" s="670"/>
    </row>
    <row r="59" spans="1:17" x14ac:dyDescent="0.2">
      <c r="A59" s="494" t="s">
        <v>5</v>
      </c>
      <c r="B59" s="691" t="s">
        <v>50</v>
      </c>
      <c r="C59" s="692"/>
      <c r="D59" s="692"/>
      <c r="E59" s="692"/>
      <c r="F59" s="692"/>
      <c r="G59" s="692"/>
      <c r="H59" s="692"/>
      <c r="I59" s="693"/>
      <c r="J59" s="670"/>
    </row>
    <row r="60" spans="1:17" x14ac:dyDescent="0.2">
      <c r="A60" s="494" t="s">
        <v>6</v>
      </c>
      <c r="B60" s="691" t="s">
        <v>48</v>
      </c>
      <c r="C60" s="692"/>
      <c r="D60" s="692"/>
      <c r="E60" s="692"/>
      <c r="F60" s="692"/>
      <c r="G60" s="692"/>
      <c r="H60" s="692"/>
      <c r="I60" s="693"/>
      <c r="J60" s="670"/>
    </row>
    <row r="61" spans="1:17" x14ac:dyDescent="0.2">
      <c r="A61" s="494" t="s">
        <v>8</v>
      </c>
      <c r="B61" s="691" t="s">
        <v>51</v>
      </c>
      <c r="C61" s="692"/>
      <c r="D61" s="692"/>
      <c r="E61" s="692"/>
      <c r="F61" s="692"/>
      <c r="G61" s="692"/>
      <c r="H61" s="692"/>
      <c r="I61" s="693"/>
      <c r="J61" s="670"/>
    </row>
    <row r="62" spans="1:17" ht="54.75" customHeight="1" x14ac:dyDescent="0.2">
      <c r="A62" s="504" t="s">
        <v>10</v>
      </c>
      <c r="B62" s="505" t="s">
        <v>11</v>
      </c>
      <c r="C62" s="506" t="s">
        <v>12</v>
      </c>
      <c r="D62" s="507" t="s">
        <v>13</v>
      </c>
      <c r="E62" s="508" t="s">
        <v>14</v>
      </c>
      <c r="F62" s="505" t="s">
        <v>15</v>
      </c>
      <c r="G62" s="509" t="s">
        <v>16</v>
      </c>
      <c r="H62" s="505" t="s">
        <v>17</v>
      </c>
      <c r="I62" s="510" t="s">
        <v>18</v>
      </c>
      <c r="J62" s="670"/>
    </row>
    <row r="63" spans="1:17" ht="54.75" customHeight="1" x14ac:dyDescent="0.2">
      <c r="A63" s="678" t="s">
        <v>701</v>
      </c>
      <c r="B63" s="535">
        <v>1</v>
      </c>
      <c r="C63" s="544">
        <v>10000000</v>
      </c>
      <c r="D63" s="521">
        <v>0</v>
      </c>
      <c r="E63" s="490">
        <f t="shared" ref="E63" si="4">C63-D63</f>
        <v>10000000</v>
      </c>
      <c r="F63" s="491">
        <f t="shared" ref="F63" si="5">E63/C63</f>
        <v>1</v>
      </c>
      <c r="G63" s="509"/>
      <c r="H63" s="505"/>
      <c r="I63" s="510"/>
      <c r="J63" s="670"/>
    </row>
    <row r="64" spans="1:17" ht="54.75" customHeight="1" x14ac:dyDescent="0.2">
      <c r="A64" s="678" t="s">
        <v>700</v>
      </c>
      <c r="B64" s="535">
        <v>1</v>
      </c>
      <c r="C64" s="544">
        <v>10000000</v>
      </c>
      <c r="D64" s="521">
        <v>0</v>
      </c>
      <c r="E64" s="490">
        <f t="shared" ref="E64" si="6">C64-D64</f>
        <v>10000000</v>
      </c>
      <c r="F64" s="491">
        <f t="shared" ref="F64" si="7">E64/C64</f>
        <v>1</v>
      </c>
      <c r="G64" s="509"/>
      <c r="H64" s="505"/>
      <c r="I64" s="510"/>
      <c r="J64" s="670"/>
    </row>
    <row r="65" spans="1:17" ht="31.5" customHeight="1" x14ac:dyDescent="0.2">
      <c r="A65" s="677" t="s">
        <v>699</v>
      </c>
      <c r="B65" s="535">
        <v>1</v>
      </c>
      <c r="C65" s="544">
        <v>10000000</v>
      </c>
      <c r="D65" s="521">
        <v>0</v>
      </c>
      <c r="E65" s="490">
        <f t="shared" ref="E65" si="8">C65-D65</f>
        <v>10000000</v>
      </c>
      <c r="F65" s="491">
        <f t="shared" ref="F65" si="9">E65/C65</f>
        <v>1</v>
      </c>
      <c r="G65" s="545"/>
      <c r="H65" s="546"/>
      <c r="I65" s="510"/>
      <c r="J65" s="670"/>
    </row>
    <row r="66" spans="1:17" s="526" customFormat="1" ht="24" x14ac:dyDescent="0.2">
      <c r="A66" s="540" t="s">
        <v>232</v>
      </c>
      <c r="B66" s="535">
        <v>1</v>
      </c>
      <c r="C66" s="544">
        <v>10000000</v>
      </c>
      <c r="D66" s="521">
        <v>0</v>
      </c>
      <c r="E66" s="490">
        <f t="shared" ref="E66:E75" si="10">C66-D66</f>
        <v>10000000</v>
      </c>
      <c r="F66" s="491">
        <f t="shared" ref="F66:F75" si="11">E66/C66</f>
        <v>1</v>
      </c>
      <c r="G66" s="545"/>
      <c r="H66" s="546"/>
      <c r="I66" s="510" t="s">
        <v>665</v>
      </c>
      <c r="J66" s="686"/>
      <c r="K66" s="686"/>
      <c r="L66" s="686"/>
      <c r="M66" s="686"/>
      <c r="N66" s="686"/>
      <c r="O66" s="686"/>
      <c r="P66" s="686"/>
      <c r="Q66" s="686"/>
    </row>
    <row r="67" spans="1:17" s="526" customFormat="1" ht="24" x14ac:dyDescent="0.2">
      <c r="A67" s="540" t="s">
        <v>580</v>
      </c>
      <c r="B67" s="535">
        <v>1</v>
      </c>
      <c r="C67" s="544">
        <v>10000000</v>
      </c>
      <c r="D67" s="521">
        <v>0</v>
      </c>
      <c r="E67" s="490">
        <f t="shared" si="10"/>
        <v>10000000</v>
      </c>
      <c r="F67" s="491">
        <f t="shared" si="11"/>
        <v>1</v>
      </c>
      <c r="G67" s="545"/>
      <c r="H67" s="546"/>
      <c r="I67" s="510" t="s">
        <v>666</v>
      </c>
      <c r="J67" s="686"/>
      <c r="K67" s="686"/>
      <c r="L67" s="686"/>
      <c r="M67" s="686"/>
      <c r="N67" s="686"/>
      <c r="O67" s="686"/>
      <c r="P67" s="686"/>
      <c r="Q67" s="686"/>
    </row>
    <row r="68" spans="1:17" s="526" customFormat="1" ht="24" x14ac:dyDescent="0.2">
      <c r="A68" s="540" t="s">
        <v>581</v>
      </c>
      <c r="B68" s="535">
        <v>1</v>
      </c>
      <c r="C68" s="544">
        <v>10000000</v>
      </c>
      <c r="D68" s="521">
        <v>0</v>
      </c>
      <c r="E68" s="490">
        <f t="shared" si="10"/>
        <v>10000000</v>
      </c>
      <c r="F68" s="491">
        <f t="shared" si="11"/>
        <v>1</v>
      </c>
      <c r="G68" s="545"/>
      <c r="H68" s="546"/>
      <c r="I68" s="510" t="s">
        <v>666</v>
      </c>
      <c r="J68" s="686"/>
      <c r="K68" s="686"/>
      <c r="L68" s="686"/>
      <c r="M68" s="686"/>
      <c r="N68" s="686"/>
      <c r="O68" s="686"/>
      <c r="P68" s="686"/>
      <c r="Q68" s="686"/>
    </row>
    <row r="69" spans="1:17" s="526" customFormat="1" x14ac:dyDescent="0.2">
      <c r="A69" s="540" t="s">
        <v>582</v>
      </c>
      <c r="B69" s="535">
        <v>1</v>
      </c>
      <c r="C69" s="544">
        <v>0</v>
      </c>
      <c r="D69" s="521">
        <v>0</v>
      </c>
      <c r="E69" s="490">
        <f t="shared" si="10"/>
        <v>0</v>
      </c>
      <c r="F69" s="491" t="e">
        <f t="shared" si="11"/>
        <v>#DIV/0!</v>
      </c>
      <c r="G69" s="545"/>
      <c r="H69" s="546"/>
      <c r="I69" s="510" t="s">
        <v>667</v>
      </c>
      <c r="J69" s="686"/>
      <c r="K69" s="686"/>
      <c r="L69" s="686"/>
      <c r="M69" s="686"/>
      <c r="N69" s="686"/>
      <c r="O69" s="686"/>
      <c r="P69" s="686"/>
      <c r="Q69" s="686"/>
    </row>
    <row r="70" spans="1:17" s="526" customFormat="1" x14ac:dyDescent="0.2">
      <c r="A70" s="540" t="s">
        <v>583</v>
      </c>
      <c r="B70" s="535">
        <v>1</v>
      </c>
      <c r="C70" s="544">
        <v>0</v>
      </c>
      <c r="D70" s="521">
        <v>0</v>
      </c>
      <c r="E70" s="490">
        <f t="shared" si="10"/>
        <v>0</v>
      </c>
      <c r="F70" s="491" t="e">
        <f t="shared" si="11"/>
        <v>#DIV/0!</v>
      </c>
      <c r="G70" s="545"/>
      <c r="H70" s="546"/>
      <c r="I70" s="510" t="s">
        <v>667</v>
      </c>
      <c r="J70" s="686"/>
      <c r="K70" s="686"/>
      <c r="L70" s="686"/>
      <c r="M70" s="686"/>
      <c r="N70" s="686"/>
      <c r="O70" s="686"/>
      <c r="P70" s="686"/>
      <c r="Q70" s="686"/>
    </row>
    <row r="71" spans="1:17" s="526" customFormat="1" ht="44.25" customHeight="1" x14ac:dyDescent="0.2">
      <c r="A71" s="540" t="s">
        <v>584</v>
      </c>
      <c r="B71" s="535">
        <v>1</v>
      </c>
      <c r="C71" s="544">
        <v>10000000</v>
      </c>
      <c r="D71" s="521">
        <v>0</v>
      </c>
      <c r="E71" s="490">
        <f t="shared" si="10"/>
        <v>10000000</v>
      </c>
      <c r="F71" s="491">
        <f t="shared" si="11"/>
        <v>1</v>
      </c>
      <c r="G71" s="545"/>
      <c r="H71" s="546"/>
      <c r="I71" s="510" t="s">
        <v>668</v>
      </c>
      <c r="J71" s="686"/>
      <c r="K71" s="686"/>
      <c r="L71" s="686"/>
      <c r="M71" s="686"/>
      <c r="N71" s="686"/>
      <c r="O71" s="686"/>
      <c r="P71" s="686"/>
      <c r="Q71" s="686"/>
    </row>
    <row r="72" spans="1:17" s="526" customFormat="1" ht="48.75" customHeight="1" x14ac:dyDescent="0.2">
      <c r="A72" s="540" t="s">
        <v>240</v>
      </c>
      <c r="B72" s="535" t="s">
        <v>241</v>
      </c>
      <c r="C72" s="544">
        <v>10000000</v>
      </c>
      <c r="D72" s="521">
        <v>0</v>
      </c>
      <c r="E72" s="490">
        <f t="shared" si="10"/>
        <v>10000000</v>
      </c>
      <c r="F72" s="491">
        <f t="shared" si="11"/>
        <v>1</v>
      </c>
      <c r="G72" s="545"/>
      <c r="H72" s="546"/>
      <c r="I72" s="510" t="s">
        <v>669</v>
      </c>
      <c r="J72" s="686"/>
      <c r="K72" s="686"/>
      <c r="L72" s="686"/>
      <c r="M72" s="686"/>
      <c r="N72" s="686"/>
      <c r="O72" s="686"/>
      <c r="P72" s="686"/>
      <c r="Q72" s="686"/>
    </row>
    <row r="73" spans="1:17" s="526" customFormat="1" ht="80.25" customHeight="1" x14ac:dyDescent="0.2">
      <c r="A73" s="540" t="s">
        <v>670</v>
      </c>
      <c r="B73" s="535">
        <v>6</v>
      </c>
      <c r="C73" s="544">
        <v>0</v>
      </c>
      <c r="D73" s="521">
        <v>0</v>
      </c>
      <c r="E73" s="490">
        <f t="shared" si="10"/>
        <v>0</v>
      </c>
      <c r="F73" s="491" t="e">
        <f t="shared" si="11"/>
        <v>#DIV/0!</v>
      </c>
      <c r="G73" s="545"/>
      <c r="H73" s="546"/>
      <c r="I73" s="510" t="s">
        <v>663</v>
      </c>
      <c r="J73" s="686"/>
      <c r="K73" s="686"/>
      <c r="L73" s="686"/>
      <c r="M73" s="686"/>
      <c r="N73" s="686"/>
      <c r="O73" s="686"/>
      <c r="P73" s="686"/>
      <c r="Q73" s="686"/>
    </row>
    <row r="74" spans="1:17" s="526" customFormat="1" ht="34.5" customHeight="1" x14ac:dyDescent="0.2">
      <c r="A74" s="540" t="s">
        <v>586</v>
      </c>
      <c r="B74" s="535" t="s">
        <v>241</v>
      </c>
      <c r="C74" s="544">
        <v>5000000</v>
      </c>
      <c r="D74" s="521">
        <v>0</v>
      </c>
      <c r="E74" s="490">
        <f t="shared" si="10"/>
        <v>5000000</v>
      </c>
      <c r="F74" s="491">
        <f t="shared" si="11"/>
        <v>1</v>
      </c>
      <c r="G74" s="547"/>
      <c r="H74" s="546"/>
      <c r="I74" s="510" t="s">
        <v>664</v>
      </c>
      <c r="J74" s="686"/>
      <c r="K74" s="686"/>
      <c r="L74" s="686"/>
      <c r="M74" s="686"/>
      <c r="N74" s="686"/>
      <c r="O74" s="686"/>
      <c r="P74" s="686"/>
      <c r="Q74" s="686"/>
    </row>
    <row r="75" spans="1:17" s="526" customFormat="1" ht="137.25" customHeight="1" x14ac:dyDescent="0.2">
      <c r="A75" s="540" t="s">
        <v>242</v>
      </c>
      <c r="B75" s="535">
        <v>10</v>
      </c>
      <c r="C75" s="549">
        <f>332163103</f>
        <v>332163103</v>
      </c>
      <c r="D75" s="543">
        <f>283359295-45144290+45144290</f>
        <v>283359295</v>
      </c>
      <c r="E75" s="490">
        <f t="shared" si="10"/>
        <v>48803808</v>
      </c>
      <c r="F75" s="491">
        <f t="shared" si="11"/>
        <v>0.14692724013961297</v>
      </c>
      <c r="G75" s="547" t="s">
        <v>710</v>
      </c>
      <c r="H75" s="413"/>
      <c r="I75" s="114"/>
      <c r="J75" s="684">
        <v>54498023</v>
      </c>
      <c r="K75" s="681">
        <f>E75-J75</f>
        <v>-5694215</v>
      </c>
      <c r="L75" s="680">
        <f>(J75/180)*135</f>
        <v>40873517.250000007</v>
      </c>
      <c r="M75" s="682">
        <f>E75-L75</f>
        <v>7930290.7499999925</v>
      </c>
      <c r="N75" s="680">
        <f>(J75/180)*150</f>
        <v>45415019.166666672</v>
      </c>
      <c r="O75" s="682">
        <f>E75-N75</f>
        <v>3388788.8333333284</v>
      </c>
      <c r="P75" s="680">
        <f>(J75/180)*165</f>
        <v>49956521.083333336</v>
      </c>
      <c r="Q75" s="682">
        <f>E75-P75</f>
        <v>-1152713.0833333358</v>
      </c>
    </row>
    <row r="76" spans="1:17" x14ac:dyDescent="0.2">
      <c r="A76" s="494" t="s">
        <v>1</v>
      </c>
      <c r="B76" s="724" t="s">
        <v>45</v>
      </c>
      <c r="C76" s="725"/>
      <c r="D76" s="725"/>
      <c r="E76" s="725"/>
      <c r="F76" s="725"/>
      <c r="G76" s="725"/>
      <c r="H76" s="725"/>
      <c r="I76" s="726"/>
    </row>
    <row r="77" spans="1:17" ht="12.75" customHeight="1" x14ac:dyDescent="0.2">
      <c r="A77" s="494" t="s">
        <v>3</v>
      </c>
      <c r="B77" s="691" t="s">
        <v>46</v>
      </c>
      <c r="C77" s="692"/>
      <c r="D77" s="692"/>
      <c r="E77" s="692"/>
      <c r="F77" s="692"/>
      <c r="G77" s="692"/>
      <c r="H77" s="692"/>
      <c r="I77" s="693"/>
    </row>
    <row r="78" spans="1:17" x14ac:dyDescent="0.2">
      <c r="A78" s="494" t="s">
        <v>5</v>
      </c>
      <c r="B78" s="691" t="s">
        <v>52</v>
      </c>
      <c r="C78" s="692"/>
      <c r="D78" s="692"/>
      <c r="E78" s="692"/>
      <c r="F78" s="692"/>
      <c r="G78" s="692"/>
      <c r="H78" s="692"/>
      <c r="I78" s="693"/>
    </row>
    <row r="79" spans="1:17" x14ac:dyDescent="0.2">
      <c r="A79" s="494" t="s">
        <v>6</v>
      </c>
      <c r="B79" s="691" t="s">
        <v>48</v>
      </c>
      <c r="C79" s="692"/>
      <c r="D79" s="692"/>
      <c r="E79" s="692"/>
      <c r="F79" s="692"/>
      <c r="G79" s="692"/>
      <c r="H79" s="692"/>
      <c r="I79" s="693"/>
    </row>
    <row r="80" spans="1:17" x14ac:dyDescent="0.2">
      <c r="A80" s="494" t="s">
        <v>8</v>
      </c>
      <c r="B80" s="691" t="s">
        <v>44</v>
      </c>
      <c r="C80" s="692"/>
      <c r="D80" s="692"/>
      <c r="E80" s="692"/>
      <c r="F80" s="692"/>
      <c r="G80" s="692"/>
      <c r="H80" s="692"/>
      <c r="I80" s="693"/>
    </row>
    <row r="81" spans="1:17" ht="36" x14ac:dyDescent="0.2">
      <c r="A81" s="504" t="s">
        <v>10</v>
      </c>
      <c r="B81" s="505" t="s">
        <v>11</v>
      </c>
      <c r="C81" s="506" t="s">
        <v>12</v>
      </c>
      <c r="D81" s="507" t="s">
        <v>13</v>
      </c>
      <c r="E81" s="508" t="s">
        <v>14</v>
      </c>
      <c r="F81" s="505" t="s">
        <v>15</v>
      </c>
      <c r="G81" s="509" t="s">
        <v>16</v>
      </c>
      <c r="H81" s="505" t="s">
        <v>17</v>
      </c>
      <c r="I81" s="510" t="s">
        <v>18</v>
      </c>
    </row>
    <row r="82" spans="1:17" s="526" customFormat="1" ht="34.5" customHeight="1" x14ac:dyDescent="0.2">
      <c r="A82" s="540" t="s">
        <v>243</v>
      </c>
      <c r="B82" s="423">
        <v>12</v>
      </c>
      <c r="C82" s="551">
        <v>20000000</v>
      </c>
      <c r="D82" s="521">
        <v>0</v>
      </c>
      <c r="E82" s="490">
        <f>C82-D82</f>
        <v>20000000</v>
      </c>
      <c r="F82" s="491">
        <f>E82/C82</f>
        <v>1</v>
      </c>
      <c r="G82" s="537"/>
      <c r="H82" s="413"/>
      <c r="I82" s="510" t="s">
        <v>672</v>
      </c>
      <c r="J82" s="685"/>
      <c r="K82" s="686"/>
      <c r="L82" s="686"/>
      <c r="M82" s="686"/>
      <c r="N82" s="686"/>
      <c r="O82" s="686"/>
      <c r="P82" s="686"/>
      <c r="Q82" s="686"/>
    </row>
    <row r="83" spans="1:17" x14ac:dyDescent="0.2">
      <c r="A83" s="494" t="s">
        <v>1</v>
      </c>
      <c r="B83" s="724" t="s">
        <v>45</v>
      </c>
      <c r="C83" s="725"/>
      <c r="D83" s="725"/>
      <c r="E83" s="725"/>
      <c r="F83" s="725"/>
      <c r="G83" s="725"/>
      <c r="H83" s="725"/>
      <c r="I83" s="726"/>
    </row>
    <row r="84" spans="1:17" x14ac:dyDescent="0.2">
      <c r="A84" s="494" t="s">
        <v>3</v>
      </c>
      <c r="B84" s="691" t="s">
        <v>53</v>
      </c>
      <c r="C84" s="692"/>
      <c r="D84" s="692"/>
      <c r="E84" s="692"/>
      <c r="F84" s="692"/>
      <c r="G84" s="692"/>
      <c r="H84" s="692"/>
      <c r="I84" s="693"/>
      <c r="J84" s="670"/>
    </row>
    <row r="85" spans="1:17" x14ac:dyDescent="0.2">
      <c r="A85" s="494" t="s">
        <v>5</v>
      </c>
      <c r="B85" s="691" t="s">
        <v>54</v>
      </c>
      <c r="C85" s="692"/>
      <c r="D85" s="692"/>
      <c r="E85" s="692"/>
      <c r="F85" s="692"/>
      <c r="G85" s="692"/>
      <c r="H85" s="692"/>
      <c r="I85" s="693"/>
      <c r="J85" s="670"/>
    </row>
    <row r="86" spans="1:17" x14ac:dyDescent="0.2">
      <c r="A86" s="494" t="s">
        <v>6</v>
      </c>
      <c r="B86" s="691" t="s">
        <v>48</v>
      </c>
      <c r="C86" s="692"/>
      <c r="D86" s="692"/>
      <c r="E86" s="692"/>
      <c r="F86" s="692"/>
      <c r="G86" s="692"/>
      <c r="H86" s="692"/>
      <c r="I86" s="693"/>
      <c r="J86" s="670"/>
    </row>
    <row r="87" spans="1:17" x14ac:dyDescent="0.2">
      <c r="A87" s="494" t="s">
        <v>8</v>
      </c>
      <c r="B87" s="691" t="s">
        <v>44</v>
      </c>
      <c r="C87" s="692"/>
      <c r="D87" s="692"/>
      <c r="E87" s="692"/>
      <c r="F87" s="692"/>
      <c r="G87" s="692"/>
      <c r="H87" s="692"/>
      <c r="I87" s="693"/>
      <c r="J87" s="670"/>
    </row>
    <row r="88" spans="1:17" ht="36" x14ac:dyDescent="0.2">
      <c r="A88" s="504" t="s">
        <v>10</v>
      </c>
      <c r="B88" s="505" t="s">
        <v>11</v>
      </c>
      <c r="C88" s="506" t="s">
        <v>12</v>
      </c>
      <c r="D88" s="507" t="s">
        <v>13</v>
      </c>
      <c r="E88" s="508" t="s">
        <v>14</v>
      </c>
      <c r="F88" s="505" t="s">
        <v>15</v>
      </c>
      <c r="G88" s="509" t="s">
        <v>16</v>
      </c>
      <c r="H88" s="505" t="s">
        <v>17</v>
      </c>
      <c r="I88" s="510" t="s">
        <v>18</v>
      </c>
      <c r="J88" s="670"/>
    </row>
    <row r="89" spans="1:17" s="526" customFormat="1" ht="60" x14ac:dyDescent="0.2">
      <c r="A89" s="474" t="s">
        <v>244</v>
      </c>
      <c r="B89" s="423">
        <v>3</v>
      </c>
      <c r="C89" s="424">
        <v>1000000</v>
      </c>
      <c r="D89" s="521">
        <v>0</v>
      </c>
      <c r="E89" s="490">
        <f>C89-D89</f>
        <v>1000000</v>
      </c>
      <c r="F89" s="491">
        <f>E89/C89</f>
        <v>1</v>
      </c>
      <c r="G89" s="537"/>
      <c r="H89" s="413"/>
      <c r="I89" s="510" t="s">
        <v>671</v>
      </c>
      <c r="J89" s="686"/>
      <c r="K89" s="686"/>
      <c r="L89" s="686"/>
      <c r="M89" s="686"/>
      <c r="N89" s="686"/>
      <c r="O89" s="686"/>
      <c r="P89" s="686"/>
      <c r="Q89" s="686"/>
    </row>
    <row r="90" spans="1:17" s="526" customFormat="1" ht="73.5" customHeight="1" x14ac:dyDescent="0.2">
      <c r="A90" s="474" t="s">
        <v>322</v>
      </c>
      <c r="B90" s="423">
        <v>5</v>
      </c>
      <c r="C90" s="424">
        <v>1000000</v>
      </c>
      <c r="D90" s="521">
        <v>0</v>
      </c>
      <c r="E90" s="490">
        <f>C90-D90</f>
        <v>1000000</v>
      </c>
      <c r="F90" s="491">
        <f>E90/C90</f>
        <v>1</v>
      </c>
      <c r="G90" s="537"/>
      <c r="H90" s="413"/>
      <c r="I90" s="510" t="s">
        <v>671</v>
      </c>
      <c r="J90" s="686"/>
      <c r="K90" s="686"/>
      <c r="L90" s="686"/>
      <c r="M90" s="686"/>
      <c r="N90" s="686"/>
      <c r="O90" s="686"/>
      <c r="P90" s="686"/>
      <c r="Q90" s="686"/>
    </row>
    <row r="91" spans="1:17" s="526" customFormat="1" ht="56.25" customHeight="1" x14ac:dyDescent="0.2">
      <c r="A91" s="474" t="s">
        <v>587</v>
      </c>
      <c r="B91" s="423">
        <v>4</v>
      </c>
      <c r="C91" s="424">
        <v>4000000</v>
      </c>
      <c r="D91" s="521">
        <v>0</v>
      </c>
      <c r="E91" s="490">
        <f>C91-D91</f>
        <v>4000000</v>
      </c>
      <c r="F91" s="491">
        <f>E91/C91</f>
        <v>1</v>
      </c>
      <c r="G91" s="537"/>
      <c r="H91" s="413"/>
      <c r="I91" s="510" t="s">
        <v>673</v>
      </c>
      <c r="J91" s="686"/>
      <c r="K91" s="686"/>
      <c r="L91" s="686"/>
      <c r="M91" s="686"/>
      <c r="N91" s="686"/>
      <c r="O91" s="686"/>
      <c r="P91" s="686"/>
      <c r="Q91" s="686"/>
    </row>
    <row r="92" spans="1:17" x14ac:dyDescent="0.2">
      <c r="A92" s="494" t="s">
        <v>1</v>
      </c>
      <c r="B92" s="691" t="s">
        <v>45</v>
      </c>
      <c r="C92" s="692"/>
      <c r="D92" s="692"/>
      <c r="E92" s="692"/>
      <c r="F92" s="692"/>
      <c r="G92" s="692"/>
      <c r="H92" s="692"/>
      <c r="I92" s="693"/>
      <c r="J92" s="670"/>
    </row>
    <row r="93" spans="1:17" x14ac:dyDescent="0.2">
      <c r="A93" s="494" t="s">
        <v>3</v>
      </c>
      <c r="B93" s="691" t="s">
        <v>53</v>
      </c>
      <c r="C93" s="692"/>
      <c r="D93" s="692"/>
      <c r="E93" s="692"/>
      <c r="F93" s="692"/>
      <c r="G93" s="692"/>
      <c r="H93" s="692"/>
      <c r="I93" s="693"/>
      <c r="J93" s="670"/>
    </row>
    <row r="94" spans="1:17" x14ac:dyDescent="0.2">
      <c r="A94" s="494" t="s">
        <v>5</v>
      </c>
      <c r="B94" s="691" t="s">
        <v>55</v>
      </c>
      <c r="C94" s="692"/>
      <c r="D94" s="692"/>
      <c r="E94" s="692"/>
      <c r="F94" s="692"/>
      <c r="G94" s="692"/>
      <c r="H94" s="692"/>
      <c r="I94" s="693"/>
      <c r="J94" s="670"/>
    </row>
    <row r="95" spans="1:17" ht="12.75" customHeight="1" x14ac:dyDescent="0.2">
      <c r="A95" s="494" t="s">
        <v>6</v>
      </c>
      <c r="B95" s="691" t="s">
        <v>48</v>
      </c>
      <c r="C95" s="692"/>
      <c r="D95" s="692"/>
      <c r="E95" s="692"/>
      <c r="F95" s="692"/>
      <c r="G95" s="692"/>
      <c r="H95" s="692"/>
      <c r="I95" s="693"/>
      <c r="J95" s="670"/>
    </row>
    <row r="96" spans="1:17" x14ac:dyDescent="0.2">
      <c r="A96" s="494" t="s">
        <v>8</v>
      </c>
      <c r="B96" s="691" t="s">
        <v>44</v>
      </c>
      <c r="C96" s="692"/>
      <c r="D96" s="692"/>
      <c r="E96" s="692"/>
      <c r="F96" s="692"/>
      <c r="G96" s="692"/>
      <c r="H96" s="692"/>
      <c r="I96" s="693"/>
      <c r="J96" s="670"/>
    </row>
    <row r="97" spans="1:17" ht="36" x14ac:dyDescent="0.2">
      <c r="A97" s="504" t="s">
        <v>10</v>
      </c>
      <c r="B97" s="505" t="s">
        <v>11</v>
      </c>
      <c r="C97" s="506" t="s">
        <v>12</v>
      </c>
      <c r="D97" s="507" t="s">
        <v>13</v>
      </c>
      <c r="E97" s="508" t="s">
        <v>14</v>
      </c>
      <c r="F97" s="505" t="s">
        <v>15</v>
      </c>
      <c r="G97" s="509" t="s">
        <v>16</v>
      </c>
      <c r="H97" s="505" t="s">
        <v>17</v>
      </c>
      <c r="I97" s="510" t="s">
        <v>18</v>
      </c>
      <c r="J97" s="670"/>
    </row>
    <row r="98" spans="1:17" s="526" customFormat="1" ht="96" customHeight="1" x14ac:dyDescent="0.2">
      <c r="A98" s="474" t="s">
        <v>246</v>
      </c>
      <c r="B98" s="535">
        <v>13</v>
      </c>
      <c r="C98" s="539">
        <v>4000000</v>
      </c>
      <c r="D98" s="521">
        <v>0</v>
      </c>
      <c r="E98" s="490">
        <f>C98-D98</f>
        <v>4000000</v>
      </c>
      <c r="F98" s="491">
        <f>E98/C98</f>
        <v>1</v>
      </c>
      <c r="G98" s="537"/>
      <c r="H98" s="413"/>
      <c r="I98" s="510" t="s">
        <v>674</v>
      </c>
      <c r="J98" s="686"/>
      <c r="K98" s="686"/>
      <c r="L98" s="686"/>
      <c r="M98" s="686"/>
      <c r="N98" s="686"/>
      <c r="O98" s="686"/>
      <c r="P98" s="686"/>
      <c r="Q98" s="686"/>
    </row>
    <row r="99" spans="1:17" s="526" customFormat="1" ht="61.5" customHeight="1" x14ac:dyDescent="0.2">
      <c r="A99" s="474" t="s">
        <v>247</v>
      </c>
      <c r="B99" s="535">
        <v>1</v>
      </c>
      <c r="C99" s="539">
        <v>7000000</v>
      </c>
      <c r="D99" s="521">
        <v>0</v>
      </c>
      <c r="E99" s="490">
        <f>C99-D99</f>
        <v>7000000</v>
      </c>
      <c r="F99" s="491">
        <f>E99/C99</f>
        <v>1</v>
      </c>
      <c r="G99" s="537"/>
      <c r="H99" s="413"/>
      <c r="I99" s="114"/>
      <c r="J99" s="686"/>
      <c r="K99" s="686"/>
      <c r="L99" s="686"/>
      <c r="M99" s="686"/>
      <c r="N99" s="686"/>
      <c r="O99" s="686"/>
      <c r="P99" s="686"/>
      <c r="Q99" s="686"/>
    </row>
    <row r="100" spans="1:17" s="526" customFormat="1" ht="64.5" customHeight="1" x14ac:dyDescent="0.2">
      <c r="A100" s="474" t="s">
        <v>248</v>
      </c>
      <c r="B100" s="535">
        <v>1</v>
      </c>
      <c r="C100" s="539">
        <v>4000000</v>
      </c>
      <c r="D100" s="521">
        <v>0</v>
      </c>
      <c r="E100" s="490">
        <f>C100-D100</f>
        <v>4000000</v>
      </c>
      <c r="F100" s="491">
        <f>E100/C100</f>
        <v>1</v>
      </c>
      <c r="G100" s="537"/>
      <c r="H100" s="413"/>
      <c r="I100" s="510" t="s">
        <v>674</v>
      </c>
      <c r="J100" s="686"/>
      <c r="K100" s="686"/>
      <c r="L100" s="686"/>
      <c r="M100" s="686"/>
      <c r="N100" s="686"/>
      <c r="O100" s="686"/>
      <c r="P100" s="686"/>
      <c r="Q100" s="686"/>
    </row>
    <row r="101" spans="1:17" s="526" customFormat="1" ht="77.25" customHeight="1" x14ac:dyDescent="0.2">
      <c r="A101" s="552" t="s">
        <v>588</v>
      </c>
      <c r="B101" s="535">
        <v>1</v>
      </c>
      <c r="C101" s="544">
        <v>4000000</v>
      </c>
      <c r="D101" s="521">
        <v>0</v>
      </c>
      <c r="E101" s="490">
        <f>C101-D101</f>
        <v>4000000</v>
      </c>
      <c r="F101" s="491">
        <f>E101/C101</f>
        <v>1</v>
      </c>
      <c r="G101" s="537"/>
      <c r="H101" s="413"/>
      <c r="I101" s="510" t="s">
        <v>674</v>
      </c>
      <c r="J101" s="686"/>
      <c r="K101" s="686"/>
      <c r="L101" s="686"/>
      <c r="M101" s="686"/>
      <c r="N101" s="686"/>
      <c r="O101" s="686"/>
      <c r="P101" s="686"/>
      <c r="Q101" s="686"/>
    </row>
    <row r="102" spans="1:17" x14ac:dyDescent="0.2">
      <c r="A102" s="494" t="s">
        <v>1</v>
      </c>
      <c r="B102" s="724" t="s">
        <v>45</v>
      </c>
      <c r="C102" s="725"/>
      <c r="D102" s="725"/>
      <c r="E102" s="725"/>
      <c r="F102" s="725"/>
      <c r="G102" s="725"/>
      <c r="H102" s="725"/>
      <c r="I102" s="726"/>
      <c r="J102" s="670"/>
    </row>
    <row r="103" spans="1:17" ht="12.75" customHeight="1" x14ac:dyDescent="0.2">
      <c r="A103" s="494" t="s">
        <v>3</v>
      </c>
      <c r="B103" s="691" t="s">
        <v>56</v>
      </c>
      <c r="C103" s="692"/>
      <c r="D103" s="692"/>
      <c r="E103" s="692"/>
      <c r="F103" s="692"/>
      <c r="G103" s="692"/>
      <c r="H103" s="692"/>
      <c r="I103" s="693"/>
      <c r="J103" s="670"/>
    </row>
    <row r="104" spans="1:17" x14ac:dyDescent="0.2">
      <c r="A104" s="494" t="s">
        <v>5</v>
      </c>
      <c r="B104" s="691" t="s">
        <v>57</v>
      </c>
      <c r="C104" s="692"/>
      <c r="D104" s="692"/>
      <c r="E104" s="692"/>
      <c r="F104" s="692"/>
      <c r="G104" s="692"/>
      <c r="H104" s="692"/>
      <c r="I104" s="693"/>
      <c r="J104" s="670"/>
    </row>
    <row r="105" spans="1:17" x14ac:dyDescent="0.2">
      <c r="A105" s="494" t="s">
        <v>6</v>
      </c>
      <c r="B105" s="691" t="s">
        <v>48</v>
      </c>
      <c r="C105" s="692"/>
      <c r="D105" s="692"/>
      <c r="E105" s="692"/>
      <c r="F105" s="692"/>
      <c r="G105" s="692"/>
      <c r="H105" s="692"/>
      <c r="I105" s="693"/>
      <c r="J105" s="670"/>
    </row>
    <row r="106" spans="1:17" x14ac:dyDescent="0.2">
      <c r="A106" s="494" t="s">
        <v>8</v>
      </c>
      <c r="B106" s="691" t="s">
        <v>44</v>
      </c>
      <c r="C106" s="692"/>
      <c r="D106" s="692"/>
      <c r="E106" s="692"/>
      <c r="F106" s="692"/>
      <c r="G106" s="692"/>
      <c r="H106" s="692"/>
      <c r="I106" s="693"/>
      <c r="J106" s="670"/>
    </row>
    <row r="107" spans="1:17" ht="36" x14ac:dyDescent="0.2">
      <c r="A107" s="504" t="s">
        <v>10</v>
      </c>
      <c r="B107" s="505" t="s">
        <v>11</v>
      </c>
      <c r="C107" s="506" t="s">
        <v>12</v>
      </c>
      <c r="D107" s="507" t="s">
        <v>13</v>
      </c>
      <c r="E107" s="508" t="s">
        <v>14</v>
      </c>
      <c r="F107" s="505" t="s">
        <v>15</v>
      </c>
      <c r="G107" s="509" t="s">
        <v>16</v>
      </c>
      <c r="H107" s="505" t="s">
        <v>17</v>
      </c>
      <c r="I107" s="510" t="s">
        <v>18</v>
      </c>
      <c r="J107" s="670"/>
    </row>
    <row r="108" spans="1:17" ht="48.75" customHeight="1" x14ac:dyDescent="0.2">
      <c r="A108" s="553" t="s">
        <v>58</v>
      </c>
      <c r="B108" s="423">
        <v>14</v>
      </c>
      <c r="C108" s="539">
        <v>5000000</v>
      </c>
      <c r="D108" s="521">
        <v>0</v>
      </c>
      <c r="E108" s="490">
        <f>C108-D108</f>
        <v>5000000</v>
      </c>
      <c r="F108" s="491">
        <f t="shared" ref="F108:F113" si="12">E108/C108</f>
        <v>1</v>
      </c>
      <c r="G108" s="509"/>
      <c r="H108" s="505"/>
      <c r="I108" s="510" t="s">
        <v>675</v>
      </c>
      <c r="J108" s="670"/>
    </row>
    <row r="109" spans="1:17" ht="36" x14ac:dyDescent="0.2">
      <c r="A109" s="553" t="s">
        <v>589</v>
      </c>
      <c r="B109" s="423">
        <v>1</v>
      </c>
      <c r="C109" s="539">
        <v>5000000</v>
      </c>
      <c r="D109" s="521">
        <v>0</v>
      </c>
      <c r="E109" s="490">
        <f>C109-D109</f>
        <v>5000000</v>
      </c>
      <c r="F109" s="491">
        <f t="shared" si="12"/>
        <v>1</v>
      </c>
      <c r="G109" s="509"/>
      <c r="H109" s="505"/>
      <c r="I109" s="510"/>
      <c r="J109" s="670"/>
    </row>
    <row r="110" spans="1:17" ht="32.25" customHeight="1" x14ac:dyDescent="0.2">
      <c r="A110" s="553" t="s">
        <v>590</v>
      </c>
      <c r="B110" s="423">
        <v>2</v>
      </c>
      <c r="C110" s="539">
        <v>5000000</v>
      </c>
      <c r="D110" s="521">
        <v>0</v>
      </c>
      <c r="E110" s="490">
        <f>C110-D110</f>
        <v>5000000</v>
      </c>
      <c r="F110" s="491">
        <f t="shared" si="12"/>
        <v>1</v>
      </c>
      <c r="G110" s="509"/>
      <c r="H110" s="505"/>
      <c r="I110" s="510" t="s">
        <v>676</v>
      </c>
      <c r="J110" s="670"/>
    </row>
    <row r="111" spans="1:17" ht="21" customHeight="1" x14ac:dyDescent="0.2">
      <c r="A111" s="553" t="s">
        <v>591</v>
      </c>
      <c r="B111" s="423">
        <v>5</v>
      </c>
      <c r="C111" s="539">
        <v>0</v>
      </c>
      <c r="D111" s="521">
        <v>0</v>
      </c>
      <c r="E111" s="490">
        <f>C111-D111</f>
        <v>0</v>
      </c>
      <c r="F111" s="491" t="e">
        <f t="shared" si="12"/>
        <v>#DIV/0!</v>
      </c>
      <c r="G111" s="509"/>
      <c r="H111" s="505"/>
      <c r="I111" s="510" t="s">
        <v>677</v>
      </c>
      <c r="J111" s="670"/>
    </row>
    <row r="112" spans="1:17" s="526" customFormat="1" ht="52.5" customHeight="1" x14ac:dyDescent="0.2">
      <c r="A112" s="553" t="s">
        <v>592</v>
      </c>
      <c r="B112" s="423">
        <v>7</v>
      </c>
      <c r="C112" s="424">
        <v>6000000</v>
      </c>
      <c r="D112" s="521">
        <v>0</v>
      </c>
      <c r="E112" s="490">
        <f>C112-D112</f>
        <v>6000000</v>
      </c>
      <c r="F112" s="491">
        <f t="shared" si="12"/>
        <v>1</v>
      </c>
      <c r="G112" s="537"/>
      <c r="H112" s="413"/>
      <c r="I112" s="510" t="s">
        <v>678</v>
      </c>
      <c r="J112" s="686"/>
      <c r="K112" s="686"/>
      <c r="L112" s="686"/>
      <c r="M112" s="686"/>
      <c r="N112" s="686"/>
      <c r="O112" s="686"/>
      <c r="P112" s="686"/>
      <c r="Q112" s="686"/>
    </row>
    <row r="113" spans="1:17" x14ac:dyDescent="0.2">
      <c r="A113" s="727" t="s">
        <v>60</v>
      </c>
      <c r="B113" s="728"/>
      <c r="C113" s="513">
        <f>SUM(C47:C112)</f>
        <v>933151213</v>
      </c>
      <c r="D113" s="513">
        <f>SUM(D47:D112)</f>
        <v>659849381</v>
      </c>
      <c r="E113" s="513">
        <f>SUM(E47:E112)</f>
        <v>273301832</v>
      </c>
      <c r="F113" s="515">
        <f t="shared" si="12"/>
        <v>0.29288054089471566</v>
      </c>
      <c r="G113" s="516"/>
      <c r="H113" s="517"/>
      <c r="I113" s="518"/>
      <c r="J113" s="670"/>
    </row>
    <row r="114" spans="1:17" x14ac:dyDescent="0.2">
      <c r="A114" s="704" t="s">
        <v>61</v>
      </c>
      <c r="B114" s="705"/>
      <c r="C114" s="705"/>
      <c r="D114" s="705"/>
      <c r="E114" s="705"/>
      <c r="F114" s="705"/>
      <c r="G114" s="705"/>
      <c r="H114" s="705"/>
      <c r="I114" s="706"/>
      <c r="J114" s="670"/>
    </row>
    <row r="115" spans="1:17" ht="12.75" customHeight="1" x14ac:dyDescent="0.2">
      <c r="A115" s="494" t="s">
        <v>25</v>
      </c>
      <c r="B115" s="698" t="s">
        <v>43</v>
      </c>
      <c r="C115" s="699"/>
      <c r="D115" s="699"/>
      <c r="E115" s="699"/>
      <c r="F115" s="699"/>
      <c r="G115" s="699"/>
      <c r="H115" s="699"/>
      <c r="I115" s="700"/>
      <c r="J115" s="670"/>
    </row>
    <row r="116" spans="1:17" ht="12.75" customHeight="1" x14ac:dyDescent="0.2">
      <c r="A116" s="494" t="s">
        <v>3</v>
      </c>
      <c r="B116" s="698" t="s">
        <v>27</v>
      </c>
      <c r="C116" s="699"/>
      <c r="D116" s="699"/>
      <c r="E116" s="699"/>
      <c r="F116" s="699"/>
      <c r="G116" s="699"/>
      <c r="H116" s="699"/>
      <c r="I116" s="700"/>
      <c r="J116" s="670"/>
    </row>
    <row r="117" spans="1:17" x14ac:dyDescent="0.2">
      <c r="A117" s="494" t="s">
        <v>5</v>
      </c>
      <c r="B117" s="691" t="s">
        <v>66</v>
      </c>
      <c r="C117" s="692"/>
      <c r="D117" s="692"/>
      <c r="E117" s="692"/>
      <c r="F117" s="692"/>
      <c r="G117" s="692"/>
      <c r="H117" s="692"/>
      <c r="I117" s="693"/>
      <c r="J117" s="670"/>
    </row>
    <row r="118" spans="1:17" x14ac:dyDescent="0.2">
      <c r="A118" s="494" t="s">
        <v>6</v>
      </c>
      <c r="B118" s="691" t="s">
        <v>64</v>
      </c>
      <c r="C118" s="692"/>
      <c r="D118" s="692"/>
      <c r="E118" s="692"/>
      <c r="F118" s="692"/>
      <c r="G118" s="692"/>
      <c r="H118" s="692"/>
      <c r="I118" s="693"/>
      <c r="J118" s="670"/>
    </row>
    <row r="119" spans="1:17" x14ac:dyDescent="0.2">
      <c r="A119" s="494" t="s">
        <v>8</v>
      </c>
      <c r="B119" s="691" t="s">
        <v>65</v>
      </c>
      <c r="C119" s="692"/>
      <c r="D119" s="692"/>
      <c r="E119" s="692"/>
      <c r="F119" s="692"/>
      <c r="G119" s="692"/>
      <c r="H119" s="692"/>
      <c r="I119" s="693"/>
      <c r="J119" s="670"/>
    </row>
    <row r="120" spans="1:17" ht="36" x14ac:dyDescent="0.2">
      <c r="A120" s="504" t="s">
        <v>10</v>
      </c>
      <c r="B120" s="505" t="s">
        <v>11</v>
      </c>
      <c r="C120" s="506" t="s">
        <v>12</v>
      </c>
      <c r="D120" s="507" t="s">
        <v>13</v>
      </c>
      <c r="E120" s="508" t="s">
        <v>14</v>
      </c>
      <c r="F120" s="505" t="s">
        <v>15</v>
      </c>
      <c r="G120" s="509" t="s">
        <v>16</v>
      </c>
      <c r="H120" s="505" t="s">
        <v>17</v>
      </c>
      <c r="I120" s="554" t="s">
        <v>18</v>
      </c>
      <c r="J120" s="670"/>
    </row>
    <row r="121" spans="1:17" s="526" customFormat="1" ht="120" customHeight="1" x14ac:dyDescent="0.2">
      <c r="A121" s="418" t="s">
        <v>647</v>
      </c>
      <c r="B121" s="414">
        <v>5</v>
      </c>
      <c r="C121" s="415">
        <v>40000000</v>
      </c>
      <c r="D121" s="521">
        <v>0</v>
      </c>
      <c r="E121" s="490">
        <f>C121-D121</f>
        <v>40000000</v>
      </c>
      <c r="F121" s="491">
        <f>E121/C121</f>
        <v>1</v>
      </c>
      <c r="G121" s="547"/>
      <c r="H121" s="413"/>
      <c r="I121" s="114" t="s">
        <v>635</v>
      </c>
      <c r="J121" s="686"/>
      <c r="K121" s="686"/>
      <c r="L121" s="686"/>
      <c r="M121" s="686"/>
      <c r="N121" s="686"/>
      <c r="O121" s="686"/>
      <c r="P121" s="686"/>
      <c r="Q121" s="686"/>
    </row>
    <row r="122" spans="1:17" s="526" customFormat="1" ht="195.75" customHeight="1" x14ac:dyDescent="0.2">
      <c r="A122" s="421" t="s">
        <v>648</v>
      </c>
      <c r="B122" s="414">
        <v>1</v>
      </c>
      <c r="C122" s="415">
        <v>60000000</v>
      </c>
      <c r="D122" s="521">
        <v>0</v>
      </c>
      <c r="E122" s="490">
        <f>C122-D122</f>
        <v>60000000</v>
      </c>
      <c r="F122" s="491">
        <f>E122/C122</f>
        <v>1</v>
      </c>
      <c r="G122" s="547"/>
      <c r="H122" s="413"/>
      <c r="I122" s="114" t="s">
        <v>636</v>
      </c>
      <c r="J122" s="686"/>
      <c r="K122" s="686"/>
      <c r="L122" s="686"/>
      <c r="M122" s="686"/>
      <c r="N122" s="686"/>
      <c r="O122" s="686"/>
      <c r="P122" s="686"/>
      <c r="Q122" s="686"/>
    </row>
    <row r="123" spans="1:17" s="526" customFormat="1" ht="102.75" customHeight="1" x14ac:dyDescent="0.2">
      <c r="A123" s="555" t="s">
        <v>649</v>
      </c>
      <c r="B123" s="414">
        <v>12</v>
      </c>
      <c r="C123" s="415">
        <v>10000000</v>
      </c>
      <c r="D123" s="521">
        <v>0</v>
      </c>
      <c r="E123" s="490">
        <f>C123-D123</f>
        <v>10000000</v>
      </c>
      <c r="F123" s="491">
        <f>E123/C123</f>
        <v>1</v>
      </c>
      <c r="G123" s="547"/>
      <c r="H123" s="413"/>
      <c r="I123" s="114" t="s">
        <v>680</v>
      </c>
      <c r="J123" s="685"/>
      <c r="K123" s="686"/>
      <c r="L123" s="686"/>
      <c r="M123" s="686"/>
      <c r="N123" s="686"/>
      <c r="O123" s="686"/>
      <c r="P123" s="686"/>
      <c r="Q123" s="686"/>
    </row>
    <row r="124" spans="1:17" s="526" customFormat="1" ht="106.5" customHeight="1" x14ac:dyDescent="0.2">
      <c r="A124" s="556" t="s">
        <v>650</v>
      </c>
      <c r="B124" s="414">
        <v>3290</v>
      </c>
      <c r="C124" s="415">
        <v>10000000</v>
      </c>
      <c r="D124" s="521">
        <v>0</v>
      </c>
      <c r="E124" s="490">
        <f>C124-D124</f>
        <v>10000000</v>
      </c>
      <c r="F124" s="491">
        <f>E124/C124</f>
        <v>1</v>
      </c>
      <c r="G124" s="537"/>
      <c r="H124" s="413"/>
      <c r="I124" s="114" t="s">
        <v>679</v>
      </c>
      <c r="J124" s="685"/>
      <c r="K124" s="686"/>
      <c r="L124" s="686"/>
      <c r="M124" s="686"/>
      <c r="N124" s="686"/>
      <c r="O124" s="686"/>
      <c r="P124" s="686"/>
      <c r="Q124" s="686"/>
    </row>
    <row r="125" spans="1:17" ht="14.85" customHeight="1" x14ac:dyDescent="0.2">
      <c r="A125" s="494" t="s">
        <v>25</v>
      </c>
      <c r="B125" s="698" t="s">
        <v>43</v>
      </c>
      <c r="C125" s="699"/>
      <c r="D125" s="699"/>
      <c r="E125" s="699"/>
      <c r="F125" s="699"/>
      <c r="G125" s="699"/>
      <c r="H125" s="699"/>
      <c r="I125" s="700"/>
      <c r="J125" s="670"/>
    </row>
    <row r="126" spans="1:17" ht="14.85" customHeight="1" x14ac:dyDescent="0.2">
      <c r="A126" s="494" t="s">
        <v>3</v>
      </c>
      <c r="B126" s="698" t="s">
        <v>27</v>
      </c>
      <c r="C126" s="699"/>
      <c r="D126" s="699"/>
      <c r="E126" s="699"/>
      <c r="F126" s="699"/>
      <c r="G126" s="699"/>
      <c r="H126" s="699"/>
      <c r="I126" s="700"/>
      <c r="J126" s="670"/>
    </row>
    <row r="127" spans="1:17" x14ac:dyDescent="0.2">
      <c r="A127" s="494" t="s">
        <v>5</v>
      </c>
      <c r="B127" s="691" t="s">
        <v>68</v>
      </c>
      <c r="C127" s="692"/>
      <c r="D127" s="692"/>
      <c r="E127" s="692"/>
      <c r="F127" s="692"/>
      <c r="G127" s="692"/>
      <c r="H127" s="692"/>
      <c r="I127" s="693"/>
      <c r="J127" s="670"/>
    </row>
    <row r="128" spans="1:17" x14ac:dyDescent="0.2">
      <c r="A128" s="494" t="s">
        <v>6</v>
      </c>
      <c r="B128" s="691" t="s">
        <v>64</v>
      </c>
      <c r="C128" s="692"/>
      <c r="D128" s="692"/>
      <c r="E128" s="692"/>
      <c r="F128" s="692"/>
      <c r="G128" s="692"/>
      <c r="H128" s="692"/>
      <c r="I128" s="693"/>
      <c r="J128" s="670"/>
    </row>
    <row r="129" spans="1:17" ht="12.75" customHeight="1" x14ac:dyDescent="0.2">
      <c r="A129" s="494" t="s">
        <v>8</v>
      </c>
      <c r="B129" s="691" t="s">
        <v>65</v>
      </c>
      <c r="C129" s="692"/>
      <c r="D129" s="692"/>
      <c r="E129" s="692"/>
      <c r="F129" s="692"/>
      <c r="G129" s="692"/>
      <c r="H129" s="692"/>
      <c r="I129" s="693"/>
      <c r="J129" s="670"/>
    </row>
    <row r="130" spans="1:17" ht="36" x14ac:dyDescent="0.2">
      <c r="A130" s="504" t="s">
        <v>10</v>
      </c>
      <c r="B130" s="505" t="s">
        <v>11</v>
      </c>
      <c r="C130" s="506" t="s">
        <v>12</v>
      </c>
      <c r="D130" s="507" t="s">
        <v>13</v>
      </c>
      <c r="E130" s="508" t="s">
        <v>14</v>
      </c>
      <c r="F130" s="505" t="s">
        <v>15</v>
      </c>
      <c r="G130" s="509" t="s">
        <v>16</v>
      </c>
      <c r="H130" s="505" t="s">
        <v>17</v>
      </c>
      <c r="I130" s="510" t="s">
        <v>18</v>
      </c>
      <c r="J130" s="670"/>
    </row>
    <row r="131" spans="1:17" s="526" customFormat="1" ht="49.5" customHeight="1" x14ac:dyDescent="0.2">
      <c r="A131" s="413" t="s">
        <v>631</v>
      </c>
      <c r="B131" s="414">
        <v>3</v>
      </c>
      <c r="C131" s="415">
        <v>92000000</v>
      </c>
      <c r="D131" s="521">
        <v>92000000</v>
      </c>
      <c r="E131" s="490">
        <f>C131-D131</f>
        <v>0</v>
      </c>
      <c r="F131" s="491">
        <f t="shared" ref="F131:F140" si="13">E131/C131</f>
        <v>0</v>
      </c>
      <c r="G131" s="545"/>
      <c r="H131" s="413"/>
      <c r="I131" s="114" t="s">
        <v>688</v>
      </c>
      <c r="J131" s="686"/>
      <c r="K131" s="686"/>
      <c r="L131" s="686"/>
      <c r="M131" s="686"/>
      <c r="N131" s="686"/>
      <c r="O131" s="686"/>
      <c r="P131" s="686"/>
      <c r="Q131" s="686"/>
    </row>
    <row r="132" spans="1:17" s="526" customFormat="1" ht="37.5" customHeight="1" x14ac:dyDescent="0.2">
      <c r="A132" s="417" t="s">
        <v>474</v>
      </c>
      <c r="B132" s="414">
        <v>1</v>
      </c>
      <c r="C132" s="415">
        <v>1000000</v>
      </c>
      <c r="D132" s="521">
        <v>0</v>
      </c>
      <c r="E132" s="490">
        <f t="shared" ref="E132:E140" si="14">C132-D132</f>
        <v>1000000</v>
      </c>
      <c r="F132" s="491"/>
      <c r="G132" s="545"/>
      <c r="H132" s="413"/>
      <c r="I132" s="114"/>
      <c r="J132" s="686"/>
      <c r="K132" s="686"/>
      <c r="L132" s="686"/>
      <c r="M132" s="686"/>
      <c r="N132" s="686"/>
      <c r="O132" s="686"/>
      <c r="P132" s="686"/>
      <c r="Q132" s="686"/>
    </row>
    <row r="133" spans="1:17" s="526" customFormat="1" ht="69" customHeight="1" x14ac:dyDescent="0.2">
      <c r="A133" s="413" t="s">
        <v>476</v>
      </c>
      <c r="B133" s="414">
        <v>1</v>
      </c>
      <c r="C133" s="415">
        <v>115000000</v>
      </c>
      <c r="D133" s="521">
        <v>100000000</v>
      </c>
      <c r="E133" s="490">
        <f t="shared" si="14"/>
        <v>15000000</v>
      </c>
      <c r="F133" s="491"/>
      <c r="G133" s="545"/>
      <c r="H133" s="413"/>
      <c r="I133" s="114" t="s">
        <v>637</v>
      </c>
      <c r="J133" s="686"/>
      <c r="K133" s="686"/>
      <c r="L133" s="686"/>
      <c r="M133" s="686"/>
      <c r="N133" s="686"/>
      <c r="O133" s="686"/>
      <c r="P133" s="686"/>
      <c r="Q133" s="686"/>
    </row>
    <row r="134" spans="1:17" s="526" customFormat="1" ht="40.5" customHeight="1" x14ac:dyDescent="0.2">
      <c r="A134" s="416" t="s">
        <v>477</v>
      </c>
      <c r="B134" s="414">
        <v>200</v>
      </c>
      <c r="C134" s="415">
        <f>5200000*10</f>
        <v>52000000</v>
      </c>
      <c r="D134" s="521">
        <v>52000000</v>
      </c>
      <c r="E134" s="490">
        <f t="shared" si="14"/>
        <v>0</v>
      </c>
      <c r="F134" s="491">
        <f t="shared" si="13"/>
        <v>0</v>
      </c>
      <c r="G134" s="557"/>
      <c r="H134" s="413"/>
      <c r="I134" s="114"/>
      <c r="J134" s="686"/>
      <c r="K134" s="686"/>
      <c r="L134" s="686"/>
      <c r="M134" s="686"/>
      <c r="N134" s="686"/>
      <c r="O134" s="686"/>
      <c r="P134" s="686"/>
      <c r="Q134" s="686"/>
    </row>
    <row r="135" spans="1:17" s="526" customFormat="1" ht="90.75" customHeight="1" x14ac:dyDescent="0.2">
      <c r="A135" s="416" t="s">
        <v>478</v>
      </c>
      <c r="B135" s="414">
        <v>1</v>
      </c>
      <c r="C135" s="415">
        <v>7000000</v>
      </c>
      <c r="D135" s="521">
        <v>0</v>
      </c>
      <c r="E135" s="490">
        <f t="shared" si="14"/>
        <v>7000000</v>
      </c>
      <c r="F135" s="491">
        <f t="shared" si="13"/>
        <v>1</v>
      </c>
      <c r="G135" s="557"/>
      <c r="H135" s="413"/>
      <c r="I135" s="114"/>
      <c r="J135" s="686"/>
      <c r="K135" s="686"/>
      <c r="L135" s="686"/>
      <c r="M135" s="686"/>
      <c r="N135" s="686"/>
      <c r="O135" s="686"/>
      <c r="P135" s="686"/>
      <c r="Q135" s="686"/>
    </row>
    <row r="136" spans="1:17" s="526" customFormat="1" ht="122.25" customHeight="1" x14ac:dyDescent="0.2">
      <c r="A136" s="418" t="s">
        <v>479</v>
      </c>
      <c r="B136" s="414">
        <v>1</v>
      </c>
      <c r="C136" s="419">
        <v>82000000</v>
      </c>
      <c r="D136" s="521">
        <v>0</v>
      </c>
      <c r="E136" s="490">
        <f t="shared" si="14"/>
        <v>82000000</v>
      </c>
      <c r="F136" s="491">
        <f t="shared" si="13"/>
        <v>1</v>
      </c>
      <c r="G136" s="547"/>
      <c r="H136" s="413"/>
      <c r="I136" s="114" t="s">
        <v>681</v>
      </c>
      <c r="J136" s="686"/>
      <c r="K136" s="686"/>
      <c r="L136" s="686"/>
      <c r="M136" s="686"/>
      <c r="N136" s="686"/>
      <c r="O136" s="686"/>
      <c r="P136" s="686"/>
      <c r="Q136" s="686"/>
    </row>
    <row r="137" spans="1:17" s="526" customFormat="1" ht="75.75" customHeight="1" x14ac:dyDescent="0.2">
      <c r="A137" s="421" t="s">
        <v>480</v>
      </c>
      <c r="B137" s="414">
        <v>5</v>
      </c>
      <c r="C137" s="420">
        <v>0</v>
      </c>
      <c r="D137" s="521">
        <v>0</v>
      </c>
      <c r="E137" s="490">
        <f t="shared" si="14"/>
        <v>0</v>
      </c>
      <c r="F137" s="491" t="e">
        <f t="shared" si="13"/>
        <v>#DIV/0!</v>
      </c>
      <c r="G137" s="537"/>
      <c r="H137" s="413"/>
      <c r="I137" s="114" t="s">
        <v>638</v>
      </c>
      <c r="J137" s="685"/>
      <c r="K137" s="686"/>
      <c r="L137" s="686"/>
      <c r="M137" s="686"/>
      <c r="N137" s="686"/>
      <c r="O137" s="686"/>
      <c r="P137" s="686"/>
      <c r="Q137" s="686"/>
    </row>
    <row r="138" spans="1:17" s="526" customFormat="1" ht="48.75" customHeight="1" x14ac:dyDescent="0.2">
      <c r="A138" s="422" t="s">
        <v>475</v>
      </c>
      <c r="B138" s="414">
        <v>1</v>
      </c>
      <c r="C138" s="415">
        <v>25000000</v>
      </c>
      <c r="D138" s="521">
        <v>0</v>
      </c>
      <c r="E138" s="490">
        <f t="shared" si="14"/>
        <v>25000000</v>
      </c>
      <c r="F138" s="491">
        <f t="shared" si="13"/>
        <v>1</v>
      </c>
      <c r="G138" s="537"/>
      <c r="H138" s="413"/>
      <c r="I138" s="114" t="s">
        <v>639</v>
      </c>
      <c r="J138" s="685"/>
      <c r="K138" s="686"/>
      <c r="L138" s="686"/>
      <c r="M138" s="686"/>
      <c r="N138" s="686"/>
      <c r="O138" s="686"/>
      <c r="P138" s="686"/>
      <c r="Q138" s="686"/>
    </row>
    <row r="139" spans="1:17" s="526" customFormat="1" ht="230.25" customHeight="1" x14ac:dyDescent="0.2">
      <c r="A139" s="558" t="s">
        <v>630</v>
      </c>
      <c r="B139" s="423">
        <v>9</v>
      </c>
      <c r="C139" s="483">
        <v>638708142</v>
      </c>
      <c r="D139" s="521">
        <f>506093358+45144180</f>
        <v>551237538</v>
      </c>
      <c r="E139" s="490">
        <f t="shared" si="14"/>
        <v>87470604</v>
      </c>
      <c r="F139" s="491">
        <f t="shared" si="13"/>
        <v>0.13694925467225375</v>
      </c>
      <c r="G139" s="537" t="s">
        <v>632</v>
      </c>
      <c r="H139" s="413"/>
      <c r="I139" s="559"/>
      <c r="J139" s="685">
        <v>132614787</v>
      </c>
      <c r="K139" s="681">
        <f>E139-J139</f>
        <v>-45144183</v>
      </c>
      <c r="L139" s="680">
        <f>(J139/180)*135</f>
        <v>99461090.25</v>
      </c>
      <c r="M139" s="682">
        <f>E139-L139</f>
        <v>-11990486.25</v>
      </c>
      <c r="N139" s="680">
        <f>(J139/180)*150</f>
        <v>110512322.5</v>
      </c>
      <c r="O139" s="682">
        <f>E139-N139</f>
        <v>-23041718.5</v>
      </c>
      <c r="P139" s="680">
        <f>(J139/180)*165</f>
        <v>121563554.75</v>
      </c>
      <c r="Q139" s="682">
        <f>E139-P139</f>
        <v>-34092950.75</v>
      </c>
    </row>
    <row r="140" spans="1:17" s="526" customFormat="1" ht="69.75" customHeight="1" x14ac:dyDescent="0.2">
      <c r="A140" s="142" t="s">
        <v>70</v>
      </c>
      <c r="B140" s="423">
        <v>3</v>
      </c>
      <c r="C140" s="424">
        <v>2000000</v>
      </c>
      <c r="D140" s="521">
        <v>2000000</v>
      </c>
      <c r="E140" s="490">
        <f t="shared" si="14"/>
        <v>0</v>
      </c>
      <c r="F140" s="491">
        <f t="shared" si="13"/>
        <v>0</v>
      </c>
      <c r="G140" s="537" t="s">
        <v>692</v>
      </c>
      <c r="H140" s="413"/>
      <c r="I140" s="114"/>
      <c r="J140" s="685"/>
      <c r="K140" s="686"/>
      <c r="L140" s="686"/>
      <c r="M140" s="686"/>
      <c r="N140" s="686"/>
      <c r="O140" s="686"/>
      <c r="P140" s="686"/>
      <c r="Q140" s="686"/>
    </row>
    <row r="141" spans="1:17" x14ac:dyDescent="0.2">
      <c r="A141" s="696" t="s">
        <v>72</v>
      </c>
      <c r="B141" s="697"/>
      <c r="C141" s="513">
        <f>SUM(C121:C140)</f>
        <v>1134708142</v>
      </c>
      <c r="D141" s="513">
        <f>SUM(D121:D140)</f>
        <v>797237538</v>
      </c>
      <c r="E141" s="513">
        <f>SUM(E121:E140)</f>
        <v>337470604</v>
      </c>
      <c r="F141" s="515">
        <f>E141/C141</f>
        <v>0.29740740504883062</v>
      </c>
      <c r="G141" s="516"/>
      <c r="H141" s="517"/>
      <c r="I141" s="518"/>
    </row>
    <row r="142" spans="1:17" x14ac:dyDescent="0.2">
      <c r="A142" s="704" t="s">
        <v>76</v>
      </c>
      <c r="B142" s="705"/>
      <c r="C142" s="705"/>
      <c r="D142" s="705"/>
      <c r="E142" s="705"/>
      <c r="F142" s="705"/>
      <c r="G142" s="705"/>
      <c r="H142" s="705"/>
      <c r="I142" s="706"/>
      <c r="J142" s="670"/>
    </row>
    <row r="143" spans="1:17" ht="12.75" customHeight="1" x14ac:dyDescent="0.2">
      <c r="A143" s="494" t="s">
        <v>1</v>
      </c>
      <c r="B143" s="698" t="s">
        <v>45</v>
      </c>
      <c r="C143" s="699"/>
      <c r="D143" s="699"/>
      <c r="E143" s="699"/>
      <c r="F143" s="699"/>
      <c r="G143" s="699"/>
      <c r="H143" s="699"/>
      <c r="I143" s="700"/>
      <c r="J143" s="670"/>
    </row>
    <row r="144" spans="1:17" ht="12.75" customHeight="1" x14ac:dyDescent="0.2">
      <c r="A144" s="494" t="s">
        <v>3</v>
      </c>
      <c r="B144" s="698" t="s">
        <v>77</v>
      </c>
      <c r="C144" s="699"/>
      <c r="D144" s="699"/>
      <c r="E144" s="699"/>
      <c r="F144" s="699"/>
      <c r="G144" s="699"/>
      <c r="H144" s="699"/>
      <c r="I144" s="700"/>
      <c r="J144" s="670"/>
    </row>
    <row r="145" spans="1:17" x14ac:dyDescent="0.2">
      <c r="A145" s="494" t="s">
        <v>5</v>
      </c>
      <c r="B145" s="691" t="s">
        <v>78</v>
      </c>
      <c r="C145" s="692"/>
      <c r="D145" s="692"/>
      <c r="E145" s="692"/>
      <c r="F145" s="692"/>
      <c r="G145" s="692"/>
      <c r="H145" s="692"/>
      <c r="I145" s="693"/>
      <c r="J145" s="670"/>
    </row>
    <row r="146" spans="1:17" x14ac:dyDescent="0.2">
      <c r="A146" s="494" t="s">
        <v>6</v>
      </c>
      <c r="B146" s="691" t="s">
        <v>79</v>
      </c>
      <c r="C146" s="692"/>
      <c r="D146" s="692"/>
      <c r="E146" s="692"/>
      <c r="F146" s="692"/>
      <c r="G146" s="692"/>
      <c r="H146" s="692"/>
      <c r="I146" s="693"/>
      <c r="J146" s="670"/>
    </row>
    <row r="147" spans="1:17" x14ac:dyDescent="0.2">
      <c r="A147" s="494" t="s">
        <v>8</v>
      </c>
      <c r="B147" s="691" t="s">
        <v>80</v>
      </c>
      <c r="C147" s="692"/>
      <c r="D147" s="692"/>
      <c r="E147" s="692"/>
      <c r="F147" s="692"/>
      <c r="G147" s="692"/>
      <c r="H147" s="692"/>
      <c r="I147" s="693"/>
      <c r="J147" s="670"/>
    </row>
    <row r="148" spans="1:17" ht="36" x14ac:dyDescent="0.2">
      <c r="A148" s="504" t="s">
        <v>10</v>
      </c>
      <c r="B148" s="505" t="s">
        <v>11</v>
      </c>
      <c r="C148" s="506" t="s">
        <v>12</v>
      </c>
      <c r="D148" s="507" t="s">
        <v>13</v>
      </c>
      <c r="E148" s="508" t="s">
        <v>14</v>
      </c>
      <c r="F148" s="505" t="s">
        <v>15</v>
      </c>
      <c r="G148" s="509" t="s">
        <v>16</v>
      </c>
      <c r="H148" s="505" t="s">
        <v>17</v>
      </c>
      <c r="I148" s="510" t="s">
        <v>18</v>
      </c>
      <c r="J148" s="670"/>
    </row>
    <row r="149" spans="1:17" s="526" customFormat="1" ht="12.75" customHeight="1" x14ac:dyDescent="0.2">
      <c r="A149" s="729" t="s">
        <v>265</v>
      </c>
      <c r="B149" s="730"/>
      <c r="C149" s="730"/>
      <c r="D149" s="730"/>
      <c r="E149" s="730"/>
      <c r="F149" s="730"/>
      <c r="G149" s="730"/>
      <c r="H149" s="730"/>
      <c r="I149" s="731"/>
      <c r="J149" s="686"/>
      <c r="K149" s="686"/>
      <c r="L149" s="686"/>
      <c r="M149" s="686"/>
      <c r="N149" s="686"/>
      <c r="O149" s="686"/>
      <c r="P149" s="686"/>
      <c r="Q149" s="686"/>
    </row>
    <row r="150" spans="1:17" s="526" customFormat="1" ht="24" x14ac:dyDescent="0.2">
      <c r="A150" s="418" t="s">
        <v>81</v>
      </c>
      <c r="B150" s="414">
        <v>1</v>
      </c>
      <c r="C150" s="560">
        <v>595720</v>
      </c>
      <c r="D150" s="521">
        <v>0</v>
      </c>
      <c r="E150" s="490">
        <f>C150-D150</f>
        <v>595720</v>
      </c>
      <c r="F150" s="491">
        <f>E150/C150</f>
        <v>1</v>
      </c>
      <c r="G150" s="561"/>
      <c r="H150" s="413"/>
      <c r="I150" s="114"/>
      <c r="J150" s="686"/>
      <c r="K150" s="686"/>
      <c r="L150" s="686"/>
      <c r="M150" s="686"/>
      <c r="N150" s="686"/>
      <c r="O150" s="686"/>
      <c r="P150" s="686"/>
      <c r="Q150" s="686"/>
    </row>
    <row r="151" spans="1:17" s="526" customFormat="1" x14ac:dyDescent="0.2">
      <c r="A151" s="558" t="s">
        <v>82</v>
      </c>
      <c r="B151" s="414">
        <v>3</v>
      </c>
      <c r="C151" s="560">
        <v>1123600</v>
      </c>
      <c r="D151" s="521">
        <v>0</v>
      </c>
      <c r="E151" s="490">
        <f>C151-D151</f>
        <v>1123600</v>
      </c>
      <c r="F151" s="491">
        <f>E151/C151</f>
        <v>1</v>
      </c>
      <c r="G151" s="561"/>
      <c r="H151" s="413"/>
      <c r="I151" s="114"/>
      <c r="J151" s="686"/>
      <c r="K151" s="686"/>
      <c r="L151" s="686"/>
      <c r="M151" s="686"/>
      <c r="N151" s="686"/>
      <c r="O151" s="686"/>
      <c r="P151" s="686"/>
      <c r="Q151" s="686"/>
    </row>
    <row r="152" spans="1:17" s="526" customFormat="1" x14ac:dyDescent="0.2">
      <c r="A152" s="558" t="s">
        <v>83</v>
      </c>
      <c r="B152" s="414">
        <v>2</v>
      </c>
      <c r="C152" s="560">
        <v>11236000</v>
      </c>
      <c r="D152" s="521">
        <v>0</v>
      </c>
      <c r="E152" s="490">
        <f>C152-D152</f>
        <v>11236000</v>
      </c>
      <c r="F152" s="491">
        <f>E152/C152</f>
        <v>1</v>
      </c>
      <c r="G152" s="561"/>
      <c r="H152" s="413"/>
      <c r="I152" s="114"/>
      <c r="J152" s="686"/>
      <c r="K152" s="686"/>
      <c r="L152" s="686"/>
      <c r="M152" s="686"/>
      <c r="N152" s="686"/>
      <c r="O152" s="686"/>
      <c r="P152" s="686"/>
      <c r="Q152" s="686"/>
    </row>
    <row r="153" spans="1:17" s="526" customFormat="1" ht="12.75" customHeight="1" x14ac:dyDescent="0.2">
      <c r="A153" s="558" t="s">
        <v>84</v>
      </c>
      <c r="B153" s="414">
        <v>1</v>
      </c>
      <c r="C153" s="560">
        <v>7303400</v>
      </c>
      <c r="D153" s="521">
        <v>0</v>
      </c>
      <c r="E153" s="490">
        <f>C153-D153</f>
        <v>7303400</v>
      </c>
      <c r="F153" s="491">
        <f>E153/C153</f>
        <v>1</v>
      </c>
      <c r="G153" s="561"/>
      <c r="H153" s="413"/>
      <c r="I153" s="114"/>
      <c r="J153" s="686"/>
      <c r="K153" s="686"/>
      <c r="L153" s="686"/>
      <c r="M153" s="686"/>
      <c r="N153" s="686"/>
      <c r="O153" s="686"/>
      <c r="P153" s="686"/>
      <c r="Q153" s="686"/>
    </row>
    <row r="154" spans="1:17" s="526" customFormat="1" ht="84.75" customHeight="1" x14ac:dyDescent="0.2">
      <c r="A154" s="558" t="s">
        <v>612</v>
      </c>
      <c r="B154" s="414">
        <v>1</v>
      </c>
      <c r="C154" s="560">
        <v>6966320</v>
      </c>
      <c r="D154" s="521">
        <v>0</v>
      </c>
      <c r="E154" s="490">
        <f>C154-D154</f>
        <v>6966320</v>
      </c>
      <c r="F154" s="491">
        <f>E154/C154</f>
        <v>1</v>
      </c>
      <c r="G154" s="561"/>
      <c r="H154" s="413"/>
      <c r="I154" s="114"/>
      <c r="J154" s="686"/>
      <c r="K154" s="686"/>
      <c r="L154" s="686"/>
      <c r="M154" s="686"/>
      <c r="N154" s="686"/>
      <c r="O154" s="686"/>
      <c r="P154" s="686"/>
      <c r="Q154" s="686"/>
    </row>
    <row r="155" spans="1:17" s="526" customFormat="1" x14ac:dyDescent="0.2">
      <c r="A155" s="562"/>
      <c r="B155" s="563"/>
      <c r="C155" s="564"/>
      <c r="D155" s="564"/>
      <c r="E155" s="565"/>
      <c r="F155" s="566"/>
      <c r="G155" s="567"/>
      <c r="H155" s="568"/>
      <c r="I155" s="569"/>
      <c r="J155" s="686"/>
      <c r="K155" s="686"/>
      <c r="L155" s="686"/>
      <c r="M155" s="686"/>
      <c r="N155" s="686"/>
      <c r="O155" s="686"/>
      <c r="P155" s="686"/>
      <c r="Q155" s="686"/>
    </row>
    <row r="156" spans="1:17" s="526" customFormat="1" ht="32.25" customHeight="1" x14ac:dyDescent="0.2">
      <c r="A156" s="732" t="s">
        <v>86</v>
      </c>
      <c r="B156" s="730"/>
      <c r="C156" s="730"/>
      <c r="D156" s="730"/>
      <c r="E156" s="730"/>
      <c r="F156" s="730"/>
      <c r="G156" s="730"/>
      <c r="H156" s="730"/>
      <c r="I156" s="731"/>
      <c r="J156" s="686"/>
      <c r="K156" s="686"/>
      <c r="L156" s="686"/>
      <c r="M156" s="686"/>
      <c r="N156" s="686"/>
      <c r="O156" s="686"/>
      <c r="P156" s="686"/>
      <c r="Q156" s="686"/>
    </row>
    <row r="157" spans="1:17" s="526" customFormat="1" ht="38.25" customHeight="1" x14ac:dyDescent="0.2">
      <c r="A157" s="558" t="s">
        <v>81</v>
      </c>
      <c r="B157" s="570">
        <v>1</v>
      </c>
      <c r="C157" s="560">
        <v>561800</v>
      </c>
      <c r="D157" s="521">
        <v>0</v>
      </c>
      <c r="E157" s="490">
        <f>C157-D157</f>
        <v>561800</v>
      </c>
      <c r="F157" s="491">
        <f>E157/C157</f>
        <v>1</v>
      </c>
      <c r="G157" s="561"/>
      <c r="H157" s="413"/>
      <c r="I157" s="114"/>
      <c r="J157" s="686"/>
      <c r="K157" s="686"/>
      <c r="L157" s="686"/>
      <c r="M157" s="686"/>
      <c r="N157" s="686"/>
      <c r="O157" s="686"/>
      <c r="P157" s="686"/>
      <c r="Q157" s="686"/>
    </row>
    <row r="158" spans="1:17" s="526" customFormat="1" ht="12.75" customHeight="1" x14ac:dyDescent="0.2">
      <c r="A158" s="558" t="s">
        <v>82</v>
      </c>
      <c r="B158" s="570">
        <v>3</v>
      </c>
      <c r="C158" s="560">
        <v>561800</v>
      </c>
      <c r="D158" s="521">
        <v>0</v>
      </c>
      <c r="E158" s="490">
        <f>C158-D158</f>
        <v>561800</v>
      </c>
      <c r="F158" s="491">
        <f>E158/C158</f>
        <v>1</v>
      </c>
      <c r="G158" s="561"/>
      <c r="H158" s="413"/>
      <c r="I158" s="114"/>
      <c r="J158" s="686"/>
      <c r="K158" s="686"/>
      <c r="L158" s="686"/>
      <c r="M158" s="686"/>
      <c r="N158" s="686"/>
      <c r="O158" s="686"/>
      <c r="P158" s="686"/>
      <c r="Q158" s="686"/>
    </row>
    <row r="159" spans="1:17" s="526" customFormat="1" x14ac:dyDescent="0.2">
      <c r="A159" s="558" t="s">
        <v>83</v>
      </c>
      <c r="B159" s="570">
        <v>2</v>
      </c>
      <c r="C159" s="560">
        <v>2809000</v>
      </c>
      <c r="D159" s="521">
        <v>0</v>
      </c>
      <c r="E159" s="490">
        <f>C159-D159</f>
        <v>2809000</v>
      </c>
      <c r="F159" s="491">
        <f>E159/C159</f>
        <v>1</v>
      </c>
      <c r="G159" s="561"/>
      <c r="H159" s="413"/>
      <c r="I159" s="114"/>
      <c r="J159" s="686"/>
      <c r="K159" s="686"/>
      <c r="L159" s="686"/>
      <c r="M159" s="686"/>
      <c r="N159" s="686"/>
      <c r="O159" s="686"/>
      <c r="P159" s="686"/>
      <c r="Q159" s="686"/>
    </row>
    <row r="160" spans="1:17" s="526" customFormat="1" ht="12.75" customHeight="1" x14ac:dyDescent="0.2">
      <c r="A160" s="558" t="s">
        <v>84</v>
      </c>
      <c r="B160" s="570">
        <v>2</v>
      </c>
      <c r="C160" s="560">
        <v>5056200</v>
      </c>
      <c r="D160" s="521">
        <v>0</v>
      </c>
      <c r="E160" s="490">
        <f>C160-D160</f>
        <v>5056200</v>
      </c>
      <c r="F160" s="491">
        <f>E160/C160</f>
        <v>1</v>
      </c>
      <c r="G160" s="561"/>
      <c r="H160" s="413"/>
      <c r="I160" s="114"/>
      <c r="J160" s="686"/>
      <c r="K160" s="686"/>
      <c r="L160" s="686"/>
      <c r="M160" s="686"/>
      <c r="N160" s="686"/>
      <c r="O160" s="686"/>
      <c r="P160" s="686"/>
      <c r="Q160" s="686"/>
    </row>
    <row r="161" spans="1:17" s="526" customFormat="1" ht="83.25" customHeight="1" x14ac:dyDescent="0.2">
      <c r="A161" s="558" t="s">
        <v>613</v>
      </c>
      <c r="B161" s="570">
        <v>1</v>
      </c>
      <c r="C161" s="560">
        <v>3146080</v>
      </c>
      <c r="D161" s="521">
        <v>0</v>
      </c>
      <c r="E161" s="490">
        <f>C161-D161</f>
        <v>3146080</v>
      </c>
      <c r="F161" s="491">
        <f>E161/C161</f>
        <v>1</v>
      </c>
      <c r="G161" s="561"/>
      <c r="H161" s="413"/>
      <c r="I161" s="114"/>
      <c r="J161" s="686"/>
      <c r="K161" s="686"/>
      <c r="L161" s="686"/>
      <c r="M161" s="686"/>
      <c r="N161" s="686"/>
      <c r="O161" s="686"/>
      <c r="P161" s="686"/>
      <c r="Q161" s="686"/>
    </row>
    <row r="162" spans="1:17" s="526" customFormat="1" x14ac:dyDescent="0.2">
      <c r="A162" s="562"/>
      <c r="B162" s="563"/>
      <c r="C162" s="571"/>
      <c r="D162" s="571"/>
      <c r="E162" s="565"/>
      <c r="F162" s="566"/>
      <c r="G162" s="567"/>
      <c r="H162" s="572"/>
      <c r="I162" s="114"/>
      <c r="J162" s="686"/>
      <c r="K162" s="686"/>
      <c r="L162" s="686"/>
      <c r="M162" s="686"/>
      <c r="N162" s="686"/>
      <c r="O162" s="686"/>
      <c r="P162" s="686"/>
      <c r="Q162" s="686"/>
    </row>
    <row r="163" spans="1:17" s="526" customFormat="1" ht="15" customHeight="1" x14ac:dyDescent="0.2">
      <c r="A163" s="732" t="s">
        <v>266</v>
      </c>
      <c r="B163" s="730"/>
      <c r="C163" s="730"/>
      <c r="D163" s="730"/>
      <c r="E163" s="730"/>
      <c r="F163" s="730"/>
      <c r="G163" s="730"/>
      <c r="H163" s="757"/>
      <c r="I163" s="114"/>
      <c r="J163" s="686"/>
      <c r="K163" s="686"/>
      <c r="L163" s="686"/>
      <c r="M163" s="686"/>
      <c r="N163" s="686"/>
      <c r="O163" s="686"/>
      <c r="P163" s="686"/>
      <c r="Q163" s="686"/>
    </row>
    <row r="164" spans="1:17" s="526" customFormat="1" ht="48.75" customHeight="1" x14ac:dyDescent="0.2">
      <c r="A164" s="558" t="s">
        <v>615</v>
      </c>
      <c r="B164" s="423">
        <v>5</v>
      </c>
      <c r="C164" s="560">
        <v>6360000</v>
      </c>
      <c r="D164" s="521">
        <v>0</v>
      </c>
      <c r="E164" s="490">
        <f>C164-D164</f>
        <v>6360000</v>
      </c>
      <c r="F164" s="491">
        <f>E164/C164</f>
        <v>1</v>
      </c>
      <c r="G164" s="561"/>
      <c r="H164" s="413"/>
      <c r="I164" s="114"/>
      <c r="J164" s="686"/>
      <c r="K164" s="686"/>
      <c r="L164" s="686"/>
      <c r="M164" s="686"/>
      <c r="N164" s="686"/>
      <c r="O164" s="686"/>
      <c r="P164" s="686"/>
      <c r="Q164" s="686"/>
    </row>
    <row r="165" spans="1:17" s="526" customFormat="1" ht="32.25" customHeight="1" x14ac:dyDescent="0.2">
      <c r="A165" s="558" t="s">
        <v>614</v>
      </c>
      <c r="B165" s="423">
        <v>2</v>
      </c>
      <c r="C165" s="560">
        <v>13780000</v>
      </c>
      <c r="D165" s="521">
        <v>0</v>
      </c>
      <c r="E165" s="490">
        <f>C165-D165</f>
        <v>13780000</v>
      </c>
      <c r="F165" s="491">
        <f>E165/C165</f>
        <v>1</v>
      </c>
      <c r="G165" s="561"/>
      <c r="H165" s="413"/>
      <c r="I165" s="114"/>
      <c r="J165" s="686"/>
      <c r="K165" s="686"/>
      <c r="L165" s="686"/>
      <c r="M165" s="686"/>
      <c r="N165" s="686"/>
      <c r="O165" s="686"/>
      <c r="P165" s="686"/>
      <c r="Q165" s="686"/>
    </row>
    <row r="166" spans="1:17" s="526" customFormat="1" x14ac:dyDescent="0.2">
      <c r="A166" s="573" t="s">
        <v>267</v>
      </c>
      <c r="B166" s="423">
        <v>1</v>
      </c>
      <c r="C166" s="574">
        <v>1060000</v>
      </c>
      <c r="D166" s="521">
        <v>0</v>
      </c>
      <c r="E166" s="490">
        <f>C166-D166</f>
        <v>1060000</v>
      </c>
      <c r="F166" s="491">
        <f>E166/C166</f>
        <v>1</v>
      </c>
      <c r="G166" s="561"/>
      <c r="H166" s="413"/>
      <c r="I166" s="114"/>
      <c r="J166" s="686"/>
      <c r="K166" s="686"/>
      <c r="L166" s="686"/>
      <c r="M166" s="686"/>
      <c r="N166" s="686"/>
      <c r="O166" s="686"/>
      <c r="P166" s="686"/>
      <c r="Q166" s="686"/>
    </row>
    <row r="167" spans="1:17" s="526" customFormat="1" ht="15" customHeight="1" x14ac:dyDescent="0.2">
      <c r="A167" s="730" t="s">
        <v>88</v>
      </c>
      <c r="B167" s="730"/>
      <c r="C167" s="730"/>
      <c r="D167" s="730"/>
      <c r="E167" s="730"/>
      <c r="F167" s="730"/>
      <c r="G167" s="730"/>
      <c r="H167" s="757"/>
      <c r="I167" s="114"/>
      <c r="J167" s="686"/>
      <c r="K167" s="686"/>
      <c r="L167" s="686"/>
      <c r="M167" s="686"/>
      <c r="N167" s="686"/>
      <c r="O167" s="686"/>
      <c r="P167" s="686"/>
      <c r="Q167" s="686"/>
    </row>
    <row r="168" spans="1:17" s="526" customFormat="1" ht="62.25" customHeight="1" x14ac:dyDescent="0.2">
      <c r="A168" s="558" t="s">
        <v>89</v>
      </c>
      <c r="B168" s="414">
        <v>4</v>
      </c>
      <c r="C168" s="733">
        <v>29256000</v>
      </c>
      <c r="D168" s="736">
        <v>0</v>
      </c>
      <c r="E168" s="739">
        <f>C168-D168</f>
        <v>29256000</v>
      </c>
      <c r="F168" s="742">
        <f>E168/C168</f>
        <v>1</v>
      </c>
      <c r="G168" s="745"/>
      <c r="H168" s="748"/>
      <c r="I168" s="751"/>
      <c r="J168" s="686"/>
      <c r="K168" s="686"/>
      <c r="L168" s="686"/>
      <c r="M168" s="686"/>
      <c r="N168" s="686"/>
      <c r="O168" s="686"/>
      <c r="P168" s="686"/>
      <c r="Q168" s="686"/>
    </row>
    <row r="169" spans="1:17" s="526" customFormat="1" ht="62.25" customHeight="1" x14ac:dyDescent="0.2">
      <c r="A169" s="558" t="s">
        <v>90</v>
      </c>
      <c r="B169" s="414">
        <v>2</v>
      </c>
      <c r="C169" s="734"/>
      <c r="D169" s="737"/>
      <c r="E169" s="740"/>
      <c r="F169" s="743"/>
      <c r="G169" s="746"/>
      <c r="H169" s="749"/>
      <c r="I169" s="752"/>
      <c r="J169" s="686"/>
      <c r="K169" s="686"/>
      <c r="L169" s="686"/>
      <c r="M169" s="686"/>
      <c r="N169" s="686"/>
      <c r="O169" s="686"/>
      <c r="P169" s="686"/>
      <c r="Q169" s="686"/>
    </row>
    <row r="170" spans="1:17" s="526" customFormat="1" ht="62.25" customHeight="1" x14ac:dyDescent="0.2">
      <c r="A170" s="558" t="s">
        <v>481</v>
      </c>
      <c r="B170" s="414">
        <v>80</v>
      </c>
      <c r="C170" s="734"/>
      <c r="D170" s="737"/>
      <c r="E170" s="740"/>
      <c r="F170" s="743"/>
      <c r="G170" s="746"/>
      <c r="H170" s="749"/>
      <c r="I170" s="752"/>
      <c r="J170" s="686"/>
      <c r="K170" s="686"/>
      <c r="L170" s="686"/>
      <c r="M170" s="686"/>
      <c r="N170" s="686"/>
      <c r="O170" s="686"/>
      <c r="P170" s="686"/>
      <c r="Q170" s="686"/>
    </row>
    <row r="171" spans="1:17" s="526" customFormat="1" ht="62.25" customHeight="1" x14ac:dyDescent="0.2">
      <c r="A171" s="558" t="s">
        <v>482</v>
      </c>
      <c r="B171" s="414">
        <v>70</v>
      </c>
      <c r="C171" s="734"/>
      <c r="D171" s="737"/>
      <c r="E171" s="740"/>
      <c r="F171" s="743"/>
      <c r="G171" s="746"/>
      <c r="H171" s="749"/>
      <c r="I171" s="752"/>
      <c r="J171" s="686"/>
      <c r="K171" s="686"/>
      <c r="L171" s="686"/>
      <c r="M171" s="686"/>
      <c r="N171" s="686"/>
      <c r="O171" s="686"/>
      <c r="P171" s="686"/>
      <c r="Q171" s="686"/>
    </row>
    <row r="172" spans="1:17" s="526" customFormat="1" ht="62.25" customHeight="1" x14ac:dyDescent="0.2">
      <c r="A172" s="418" t="s">
        <v>268</v>
      </c>
      <c r="B172" s="414">
        <v>3</v>
      </c>
      <c r="C172" s="734"/>
      <c r="D172" s="737"/>
      <c r="E172" s="740"/>
      <c r="F172" s="743"/>
      <c r="G172" s="746"/>
      <c r="H172" s="749"/>
      <c r="I172" s="752"/>
      <c r="J172" s="686"/>
      <c r="K172" s="686"/>
      <c r="L172" s="686"/>
      <c r="M172" s="686"/>
      <c r="N172" s="686"/>
      <c r="O172" s="686"/>
      <c r="P172" s="686"/>
      <c r="Q172" s="686"/>
    </row>
    <row r="173" spans="1:17" s="526" customFormat="1" ht="62.25" customHeight="1" x14ac:dyDescent="0.2">
      <c r="A173" s="575" t="s">
        <v>91</v>
      </c>
      <c r="B173" s="414">
        <v>2</v>
      </c>
      <c r="C173" s="734"/>
      <c r="D173" s="737"/>
      <c r="E173" s="740"/>
      <c r="F173" s="743"/>
      <c r="G173" s="746"/>
      <c r="H173" s="749"/>
      <c r="I173" s="752"/>
      <c r="J173" s="686"/>
      <c r="K173" s="686"/>
      <c r="L173" s="686"/>
      <c r="M173" s="686"/>
      <c r="N173" s="686"/>
      <c r="O173" s="686"/>
      <c r="P173" s="686"/>
      <c r="Q173" s="686"/>
    </row>
    <row r="174" spans="1:17" s="526" customFormat="1" ht="62.25" customHeight="1" x14ac:dyDescent="0.2">
      <c r="A174" s="576" t="s">
        <v>269</v>
      </c>
      <c r="B174" s="414">
        <v>12</v>
      </c>
      <c r="C174" s="734"/>
      <c r="D174" s="737"/>
      <c r="E174" s="740"/>
      <c r="F174" s="743"/>
      <c r="G174" s="746"/>
      <c r="H174" s="749"/>
      <c r="I174" s="752"/>
      <c r="J174" s="686"/>
      <c r="K174" s="686"/>
      <c r="L174" s="686"/>
      <c r="M174" s="686"/>
      <c r="N174" s="686"/>
      <c r="O174" s="686"/>
      <c r="P174" s="686"/>
      <c r="Q174" s="686"/>
    </row>
    <row r="175" spans="1:17" s="526" customFormat="1" ht="62.25" customHeight="1" x14ac:dyDescent="0.2">
      <c r="A175" s="416" t="s">
        <v>483</v>
      </c>
      <c r="B175" s="414">
        <v>24</v>
      </c>
      <c r="C175" s="735"/>
      <c r="D175" s="738"/>
      <c r="E175" s="741"/>
      <c r="F175" s="744"/>
      <c r="G175" s="747"/>
      <c r="H175" s="750"/>
      <c r="I175" s="753"/>
      <c r="J175" s="686"/>
      <c r="K175" s="686"/>
      <c r="L175" s="686"/>
      <c r="M175" s="686"/>
      <c r="N175" s="686"/>
      <c r="O175" s="686"/>
      <c r="P175" s="686"/>
      <c r="Q175" s="686"/>
    </row>
    <row r="176" spans="1:17" s="526" customFormat="1" ht="25.5" customHeight="1" x14ac:dyDescent="0.2">
      <c r="A176" s="732" t="s">
        <v>92</v>
      </c>
      <c r="B176" s="730"/>
      <c r="C176" s="730"/>
      <c r="D176" s="730"/>
      <c r="E176" s="730"/>
      <c r="F176" s="730"/>
      <c r="G176" s="730"/>
      <c r="H176" s="757"/>
      <c r="I176" s="577"/>
      <c r="J176" s="686"/>
      <c r="K176" s="686"/>
      <c r="L176" s="686"/>
      <c r="M176" s="686"/>
      <c r="N176" s="686"/>
      <c r="O176" s="686"/>
      <c r="P176" s="686"/>
      <c r="Q176" s="686"/>
    </row>
    <row r="177" spans="1:17" s="526" customFormat="1" ht="40.5" customHeight="1" x14ac:dyDescent="0.2">
      <c r="A177" s="418" t="s">
        <v>484</v>
      </c>
      <c r="B177" s="414" t="s">
        <v>491</v>
      </c>
      <c r="C177" s="733">
        <v>56747100</v>
      </c>
      <c r="D177" s="736">
        <v>0</v>
      </c>
      <c r="E177" s="739">
        <f>C177-D177</f>
        <v>56747100</v>
      </c>
      <c r="F177" s="742">
        <f>E177/C177</f>
        <v>1</v>
      </c>
      <c r="G177" s="754"/>
      <c r="H177" s="748"/>
      <c r="I177" s="751"/>
      <c r="J177" s="686"/>
      <c r="K177" s="686"/>
      <c r="L177" s="686"/>
      <c r="M177" s="686"/>
      <c r="N177" s="686"/>
      <c r="O177" s="686"/>
      <c r="P177" s="686"/>
      <c r="Q177" s="686"/>
    </row>
    <row r="178" spans="1:17" s="526" customFormat="1" ht="40.5" customHeight="1" x14ac:dyDescent="0.2">
      <c r="A178" s="558" t="s">
        <v>93</v>
      </c>
      <c r="B178" s="414">
        <v>3</v>
      </c>
      <c r="C178" s="734"/>
      <c r="D178" s="737"/>
      <c r="E178" s="740"/>
      <c r="F178" s="743"/>
      <c r="G178" s="755"/>
      <c r="H178" s="749"/>
      <c r="I178" s="752"/>
      <c r="J178" s="686"/>
      <c r="K178" s="686"/>
      <c r="L178" s="686"/>
      <c r="M178" s="686"/>
      <c r="N178" s="686"/>
      <c r="O178" s="686"/>
      <c r="P178" s="686"/>
      <c r="Q178" s="686"/>
    </row>
    <row r="179" spans="1:17" s="526" customFormat="1" ht="40.5" customHeight="1" x14ac:dyDescent="0.2">
      <c r="A179" s="418" t="s">
        <v>94</v>
      </c>
      <c r="B179" s="414" t="e">
        <f>M179+O179+Q179+S179+U179+K179+#REF!+#REF!+I179+G179+E179+C179</f>
        <v>#REF!</v>
      </c>
      <c r="C179" s="734"/>
      <c r="D179" s="737"/>
      <c r="E179" s="740"/>
      <c r="F179" s="743"/>
      <c r="G179" s="755"/>
      <c r="H179" s="749"/>
      <c r="I179" s="752"/>
      <c r="J179" s="686"/>
      <c r="K179" s="686"/>
      <c r="L179" s="686"/>
      <c r="M179" s="686"/>
      <c r="N179" s="686"/>
      <c r="O179" s="686"/>
      <c r="P179" s="686"/>
      <c r="Q179" s="686"/>
    </row>
    <row r="180" spans="1:17" s="526" customFormat="1" ht="40.5" customHeight="1" x14ac:dyDescent="0.2">
      <c r="A180" s="558" t="s">
        <v>95</v>
      </c>
      <c r="B180" s="414">
        <v>10</v>
      </c>
      <c r="C180" s="734"/>
      <c r="D180" s="737"/>
      <c r="E180" s="740"/>
      <c r="F180" s="743"/>
      <c r="G180" s="755"/>
      <c r="H180" s="749"/>
      <c r="I180" s="752"/>
      <c r="J180" s="686"/>
      <c r="K180" s="686"/>
      <c r="L180" s="686"/>
      <c r="M180" s="686"/>
      <c r="N180" s="686"/>
      <c r="O180" s="686"/>
      <c r="P180" s="686"/>
      <c r="Q180" s="686"/>
    </row>
    <row r="181" spans="1:17" s="526" customFormat="1" ht="40.5" customHeight="1" x14ac:dyDescent="0.2">
      <c r="A181" s="578" t="s">
        <v>96</v>
      </c>
      <c r="B181" s="414" t="e">
        <f>M181+O181+Q181+S181+U181+K181+#REF!+#REF!+I181+G181+E181+C181</f>
        <v>#REF!</v>
      </c>
      <c r="C181" s="734"/>
      <c r="D181" s="737"/>
      <c r="E181" s="740"/>
      <c r="F181" s="743"/>
      <c r="G181" s="755"/>
      <c r="H181" s="749"/>
      <c r="I181" s="752"/>
      <c r="J181" s="686"/>
      <c r="K181" s="686"/>
      <c r="L181" s="686"/>
      <c r="M181" s="686"/>
      <c r="N181" s="686"/>
      <c r="O181" s="686"/>
      <c r="P181" s="686"/>
      <c r="Q181" s="686"/>
    </row>
    <row r="182" spans="1:17" s="526" customFormat="1" ht="40.5" customHeight="1" x14ac:dyDescent="0.2">
      <c r="A182" s="579" t="s">
        <v>485</v>
      </c>
      <c r="B182" s="414">
        <v>42</v>
      </c>
      <c r="C182" s="734"/>
      <c r="D182" s="737"/>
      <c r="E182" s="740"/>
      <c r="F182" s="743"/>
      <c r="G182" s="755"/>
      <c r="H182" s="749"/>
      <c r="I182" s="752"/>
      <c r="J182" s="686"/>
      <c r="K182" s="686"/>
      <c r="L182" s="686"/>
      <c r="M182" s="686"/>
      <c r="N182" s="686"/>
      <c r="O182" s="686"/>
      <c r="P182" s="686"/>
      <c r="Q182" s="686"/>
    </row>
    <row r="183" spans="1:17" s="526" customFormat="1" ht="40.5" customHeight="1" x14ac:dyDescent="0.2">
      <c r="A183" s="579" t="s">
        <v>486</v>
      </c>
      <c r="B183" s="414" t="e">
        <f>M183+O183+Q183+S183+U183+K183+#REF!+#REF!+I183+G183+E183+C183</f>
        <v>#REF!</v>
      </c>
      <c r="C183" s="734"/>
      <c r="D183" s="737"/>
      <c r="E183" s="740"/>
      <c r="F183" s="743"/>
      <c r="G183" s="755"/>
      <c r="H183" s="749"/>
      <c r="I183" s="752"/>
      <c r="J183" s="686"/>
      <c r="K183" s="686"/>
      <c r="L183" s="686"/>
      <c r="M183" s="686"/>
      <c r="N183" s="686"/>
      <c r="O183" s="686"/>
      <c r="P183" s="686"/>
      <c r="Q183" s="686"/>
    </row>
    <row r="184" spans="1:17" s="526" customFormat="1" ht="40.5" customHeight="1" x14ac:dyDescent="0.2">
      <c r="A184" s="558" t="s">
        <v>270</v>
      </c>
      <c r="B184" s="414">
        <v>1</v>
      </c>
      <c r="C184" s="734"/>
      <c r="D184" s="737"/>
      <c r="E184" s="740"/>
      <c r="F184" s="743"/>
      <c r="G184" s="755"/>
      <c r="H184" s="749"/>
      <c r="I184" s="752"/>
      <c r="J184" s="686"/>
      <c r="K184" s="686"/>
      <c r="L184" s="686"/>
      <c r="M184" s="686"/>
      <c r="N184" s="686"/>
      <c r="O184" s="686"/>
      <c r="P184" s="686"/>
      <c r="Q184" s="686"/>
    </row>
    <row r="185" spans="1:17" s="526" customFormat="1" ht="40.5" customHeight="1" x14ac:dyDescent="0.2">
      <c r="A185" s="558" t="s">
        <v>487</v>
      </c>
      <c r="B185" s="414">
        <v>10</v>
      </c>
      <c r="C185" s="734"/>
      <c r="D185" s="737"/>
      <c r="E185" s="740"/>
      <c r="F185" s="743"/>
      <c r="G185" s="755"/>
      <c r="H185" s="749"/>
      <c r="I185" s="752"/>
      <c r="J185" s="686"/>
      <c r="K185" s="686"/>
      <c r="L185" s="686"/>
      <c r="M185" s="686"/>
      <c r="N185" s="686"/>
      <c r="O185" s="686"/>
      <c r="P185" s="686"/>
      <c r="Q185" s="686"/>
    </row>
    <row r="186" spans="1:17" s="526" customFormat="1" ht="42.75" customHeight="1" x14ac:dyDescent="0.2">
      <c r="A186" s="556" t="s">
        <v>97</v>
      </c>
      <c r="B186" s="414" t="e">
        <f>M186+O186+Q186+S186+U186+K186+#REF!+#REF!+I186+G186+E186+C186</f>
        <v>#REF!</v>
      </c>
      <c r="C186" s="734"/>
      <c r="D186" s="737"/>
      <c r="E186" s="740"/>
      <c r="F186" s="743"/>
      <c r="G186" s="755"/>
      <c r="H186" s="749"/>
      <c r="I186" s="752"/>
      <c r="J186" s="686"/>
      <c r="K186" s="686"/>
      <c r="L186" s="686"/>
      <c r="M186" s="686"/>
      <c r="N186" s="686"/>
      <c r="O186" s="686"/>
      <c r="P186" s="686"/>
      <c r="Q186" s="686"/>
    </row>
    <row r="187" spans="1:17" s="526" customFormat="1" ht="75.75" customHeight="1" x14ac:dyDescent="0.2">
      <c r="A187" s="556" t="s">
        <v>488</v>
      </c>
      <c r="B187" s="414" t="s">
        <v>241</v>
      </c>
      <c r="C187" s="734"/>
      <c r="D187" s="737"/>
      <c r="E187" s="740"/>
      <c r="F187" s="743"/>
      <c r="G187" s="755"/>
      <c r="H187" s="749"/>
      <c r="I187" s="752"/>
      <c r="J187" s="686"/>
      <c r="K187" s="686"/>
      <c r="L187" s="686"/>
      <c r="M187" s="686"/>
      <c r="N187" s="686"/>
      <c r="O187" s="686"/>
      <c r="P187" s="686"/>
      <c r="Q187" s="686"/>
    </row>
    <row r="188" spans="1:17" s="526" customFormat="1" ht="42" customHeight="1" x14ac:dyDescent="0.2">
      <c r="A188" s="413" t="s">
        <v>98</v>
      </c>
      <c r="B188" s="530" t="e">
        <f>M188+O188+Q188+S188+U188+K188+#REF!+#REF!+I188+G188+E188+C188</f>
        <v>#REF!</v>
      </c>
      <c r="C188" s="734"/>
      <c r="D188" s="737"/>
      <c r="E188" s="740"/>
      <c r="F188" s="743"/>
      <c r="G188" s="755"/>
      <c r="H188" s="749"/>
      <c r="I188" s="752"/>
      <c r="J188" s="686"/>
      <c r="K188" s="686"/>
      <c r="L188" s="686"/>
      <c r="M188" s="686"/>
      <c r="N188" s="686"/>
      <c r="O188" s="686"/>
      <c r="P188" s="686"/>
      <c r="Q188" s="686"/>
    </row>
    <row r="189" spans="1:17" s="526" customFormat="1" ht="54" customHeight="1" x14ac:dyDescent="0.2">
      <c r="A189" s="168" t="s">
        <v>99</v>
      </c>
      <c r="B189" s="530">
        <v>5</v>
      </c>
      <c r="C189" s="734"/>
      <c r="D189" s="737"/>
      <c r="E189" s="740"/>
      <c r="F189" s="743"/>
      <c r="G189" s="755"/>
      <c r="H189" s="749"/>
      <c r="I189" s="752"/>
      <c r="J189" s="686"/>
      <c r="K189" s="686"/>
      <c r="L189" s="686"/>
      <c r="M189" s="686"/>
      <c r="N189" s="686"/>
      <c r="O189" s="686"/>
      <c r="P189" s="686"/>
      <c r="Q189" s="686"/>
    </row>
    <row r="190" spans="1:17" s="526" customFormat="1" ht="69" customHeight="1" x14ac:dyDescent="0.2">
      <c r="A190" s="168" t="s">
        <v>271</v>
      </c>
      <c r="B190" s="530">
        <v>6</v>
      </c>
      <c r="C190" s="734"/>
      <c r="D190" s="737"/>
      <c r="E190" s="740"/>
      <c r="F190" s="743"/>
      <c r="G190" s="755"/>
      <c r="H190" s="749"/>
      <c r="I190" s="752"/>
      <c r="J190" s="686"/>
      <c r="K190" s="686"/>
      <c r="L190" s="686"/>
      <c r="M190" s="686"/>
      <c r="N190" s="686"/>
      <c r="O190" s="686"/>
      <c r="P190" s="686"/>
      <c r="Q190" s="686"/>
    </row>
    <row r="191" spans="1:17" s="526" customFormat="1" ht="98.25" customHeight="1" x14ac:dyDescent="0.2">
      <c r="A191" s="580" t="s">
        <v>489</v>
      </c>
      <c r="B191" s="414">
        <v>6</v>
      </c>
      <c r="C191" s="735"/>
      <c r="D191" s="738"/>
      <c r="E191" s="741"/>
      <c r="F191" s="744"/>
      <c r="G191" s="756"/>
      <c r="H191" s="750"/>
      <c r="I191" s="753"/>
      <c r="J191" s="686"/>
      <c r="K191" s="686"/>
      <c r="L191" s="686"/>
      <c r="M191" s="686"/>
      <c r="N191" s="686"/>
      <c r="O191" s="686"/>
      <c r="P191" s="686"/>
      <c r="Q191" s="686"/>
    </row>
    <row r="192" spans="1:17" s="526" customFormat="1" ht="126.75" customHeight="1" x14ac:dyDescent="0.2">
      <c r="A192" s="418" t="s">
        <v>490</v>
      </c>
      <c r="B192" s="423">
        <v>7</v>
      </c>
      <c r="C192" s="424">
        <v>281172621</v>
      </c>
      <c r="D192" s="424">
        <f>126218307+47318121+57283200</f>
        <v>230819628</v>
      </c>
      <c r="E192" s="490">
        <f>C192-D192</f>
        <v>50352993</v>
      </c>
      <c r="F192" s="491">
        <f>E192/C192</f>
        <v>0.17908213403181955</v>
      </c>
      <c r="G192" s="537" t="s">
        <v>633</v>
      </c>
      <c r="H192" s="413"/>
      <c r="I192" s="114">
        <f>C193-C192</f>
        <v>146563020</v>
      </c>
      <c r="J192" s="684">
        <v>73192193</v>
      </c>
      <c r="K192" s="681">
        <f>E192-J192</f>
        <v>-22839200</v>
      </c>
      <c r="L192" s="680">
        <f>(J192/180)*135</f>
        <v>54894144.750000007</v>
      </c>
      <c r="M192" s="682">
        <f>E192-L192</f>
        <v>-4541151.7500000075</v>
      </c>
      <c r="N192" s="680">
        <f>(J192/180)*150</f>
        <v>60993494.166666672</v>
      </c>
      <c r="O192" s="682">
        <f>E192-N192</f>
        <v>-10640501.166666672</v>
      </c>
      <c r="P192" s="680">
        <f>(J192/180)*165</f>
        <v>67092843.583333336</v>
      </c>
      <c r="Q192" s="682">
        <f>E192-P192</f>
        <v>-16739850.583333336</v>
      </c>
    </row>
    <row r="193" spans="1:17" x14ac:dyDescent="0.2">
      <c r="A193" s="696" t="s">
        <v>100</v>
      </c>
      <c r="B193" s="697"/>
      <c r="C193" s="513">
        <f>SUM(C149:C192)</f>
        <v>427735641</v>
      </c>
      <c r="D193" s="513">
        <f>SUM(D149:D192)</f>
        <v>230819628</v>
      </c>
      <c r="E193" s="513">
        <f>SUM(E149:E192)</f>
        <v>196916013</v>
      </c>
      <c r="F193" s="515">
        <f>E193/C193</f>
        <v>0.46036849428687193</v>
      </c>
      <c r="G193" s="516"/>
      <c r="H193" s="517"/>
      <c r="I193" s="518"/>
      <c r="J193" s="670"/>
    </row>
    <row r="194" spans="1:17" ht="12.75" customHeight="1" x14ac:dyDescent="0.2">
      <c r="A194" s="494" t="s">
        <v>1</v>
      </c>
      <c r="B194" s="698" t="s">
        <v>45</v>
      </c>
      <c r="C194" s="699"/>
      <c r="D194" s="699"/>
      <c r="E194" s="699"/>
      <c r="F194" s="699"/>
      <c r="G194" s="699"/>
      <c r="H194" s="699"/>
      <c r="I194" s="700"/>
      <c r="J194" s="670"/>
    </row>
    <row r="195" spans="1:17" ht="12.75" customHeight="1" x14ac:dyDescent="0.2">
      <c r="A195" s="494" t="s">
        <v>3</v>
      </c>
      <c r="B195" s="698" t="s">
        <v>77</v>
      </c>
      <c r="C195" s="699"/>
      <c r="D195" s="699"/>
      <c r="E195" s="699"/>
      <c r="F195" s="699"/>
      <c r="G195" s="699"/>
      <c r="H195" s="699"/>
      <c r="I195" s="700"/>
      <c r="J195" s="670"/>
    </row>
    <row r="196" spans="1:17" x14ac:dyDescent="0.2">
      <c r="A196" s="494" t="s">
        <v>5</v>
      </c>
      <c r="B196" s="691" t="s">
        <v>273</v>
      </c>
      <c r="C196" s="692"/>
      <c r="D196" s="692"/>
      <c r="E196" s="692"/>
      <c r="F196" s="692"/>
      <c r="G196" s="692"/>
      <c r="H196" s="692"/>
      <c r="I196" s="693"/>
      <c r="J196" s="670"/>
    </row>
    <row r="197" spans="1:17" x14ac:dyDescent="0.2">
      <c r="A197" s="494" t="s">
        <v>6</v>
      </c>
      <c r="B197" s="691" t="s">
        <v>79</v>
      </c>
      <c r="C197" s="692"/>
      <c r="D197" s="692"/>
      <c r="E197" s="692"/>
      <c r="F197" s="692"/>
      <c r="G197" s="692"/>
      <c r="H197" s="692"/>
      <c r="I197" s="693"/>
      <c r="J197" s="670"/>
    </row>
    <row r="198" spans="1:17" x14ac:dyDescent="0.2">
      <c r="A198" s="494" t="s">
        <v>8</v>
      </c>
      <c r="B198" s="691" t="s">
        <v>273</v>
      </c>
      <c r="C198" s="692"/>
      <c r="D198" s="692"/>
      <c r="E198" s="692"/>
      <c r="F198" s="692"/>
      <c r="G198" s="692"/>
      <c r="H198" s="692"/>
      <c r="I198" s="693"/>
      <c r="J198" s="670"/>
    </row>
    <row r="199" spans="1:17" ht="36" x14ac:dyDescent="0.2">
      <c r="A199" s="504" t="s">
        <v>10</v>
      </c>
      <c r="B199" s="505" t="s">
        <v>11</v>
      </c>
      <c r="C199" s="506" t="s">
        <v>12</v>
      </c>
      <c r="D199" s="507" t="s">
        <v>13</v>
      </c>
      <c r="E199" s="508" t="s">
        <v>14</v>
      </c>
      <c r="F199" s="505" t="s">
        <v>15</v>
      </c>
      <c r="G199" s="509" t="s">
        <v>16</v>
      </c>
      <c r="H199" s="505" t="s">
        <v>17</v>
      </c>
      <c r="I199" s="510" t="s">
        <v>18</v>
      </c>
      <c r="J199" s="670"/>
    </row>
    <row r="200" spans="1:17" ht="141.75" customHeight="1" x14ac:dyDescent="0.2">
      <c r="A200" s="581" t="s">
        <v>493</v>
      </c>
      <c r="B200" s="582">
        <v>1</v>
      </c>
      <c r="C200" s="583">
        <v>20000000</v>
      </c>
      <c r="D200" s="521">
        <v>0</v>
      </c>
      <c r="E200" s="490">
        <f t="shared" ref="E200:E206" si="15">C200-D200</f>
        <v>20000000</v>
      </c>
      <c r="F200" s="491">
        <f t="shared" ref="F200:F206" si="16">E200/C200</f>
        <v>1</v>
      </c>
      <c r="G200" s="509"/>
      <c r="H200" s="505"/>
      <c r="I200" s="584" t="s">
        <v>683</v>
      </c>
      <c r="J200" s="670"/>
    </row>
    <row r="201" spans="1:17" ht="144" customHeight="1" x14ac:dyDescent="0.2">
      <c r="A201" s="581" t="s">
        <v>682</v>
      </c>
      <c r="B201" s="585">
        <v>1</v>
      </c>
      <c r="C201" s="583">
        <v>10000000</v>
      </c>
      <c r="D201" s="521">
        <v>0</v>
      </c>
      <c r="E201" s="490">
        <f t="shared" si="15"/>
        <v>10000000</v>
      </c>
      <c r="F201" s="491">
        <f t="shared" si="16"/>
        <v>1</v>
      </c>
      <c r="G201" s="509"/>
      <c r="H201" s="505"/>
      <c r="I201" s="584" t="s">
        <v>684</v>
      </c>
      <c r="J201" s="670"/>
    </row>
    <row r="202" spans="1:17" ht="48.75" customHeight="1" x14ac:dyDescent="0.2">
      <c r="A202" s="581" t="s">
        <v>495</v>
      </c>
      <c r="B202" s="585">
        <v>15</v>
      </c>
      <c r="C202" s="521">
        <v>30000000</v>
      </c>
      <c r="D202" s="521">
        <v>30000000</v>
      </c>
      <c r="E202" s="490">
        <f t="shared" si="15"/>
        <v>0</v>
      </c>
      <c r="F202" s="491">
        <f t="shared" si="16"/>
        <v>0</v>
      </c>
      <c r="G202" s="509"/>
      <c r="H202" s="505"/>
      <c r="I202" s="584" t="s">
        <v>640</v>
      </c>
      <c r="J202" s="670"/>
    </row>
    <row r="203" spans="1:17" ht="85.5" customHeight="1" x14ac:dyDescent="0.2">
      <c r="A203" s="581" t="s">
        <v>496</v>
      </c>
      <c r="B203" s="585">
        <v>21</v>
      </c>
      <c r="C203" s="521">
        <v>30000000</v>
      </c>
      <c r="D203" s="521">
        <v>30000000</v>
      </c>
      <c r="E203" s="490">
        <f t="shared" si="15"/>
        <v>0</v>
      </c>
      <c r="F203" s="491">
        <f t="shared" si="16"/>
        <v>0</v>
      </c>
      <c r="G203" s="509"/>
      <c r="H203" s="505"/>
      <c r="I203" s="584" t="s">
        <v>641</v>
      </c>
      <c r="J203" s="670"/>
    </row>
    <row r="204" spans="1:17" ht="136.5" customHeight="1" x14ac:dyDescent="0.2">
      <c r="A204" s="586" t="s">
        <v>697</v>
      </c>
      <c r="B204" s="585">
        <v>1</v>
      </c>
      <c r="C204" s="583">
        <v>2000000</v>
      </c>
      <c r="D204" s="521">
        <v>0</v>
      </c>
      <c r="E204" s="490">
        <f t="shared" si="15"/>
        <v>2000000</v>
      </c>
      <c r="F204" s="491">
        <f t="shared" si="16"/>
        <v>1</v>
      </c>
      <c r="G204" s="509"/>
      <c r="H204" s="505"/>
      <c r="I204" s="587" t="s">
        <v>698</v>
      </c>
      <c r="J204" s="670"/>
    </row>
    <row r="205" spans="1:17" ht="69.75" customHeight="1" x14ac:dyDescent="0.2">
      <c r="A205" s="581" t="s">
        <v>498</v>
      </c>
      <c r="B205" s="482">
        <v>1</v>
      </c>
      <c r="C205" s="583">
        <v>15000000</v>
      </c>
      <c r="D205" s="521">
        <v>15000000</v>
      </c>
      <c r="E205" s="490">
        <f t="shared" si="15"/>
        <v>0</v>
      </c>
      <c r="F205" s="491">
        <f t="shared" si="16"/>
        <v>0</v>
      </c>
      <c r="G205" s="509"/>
      <c r="H205" s="505"/>
      <c r="I205" s="587" t="s">
        <v>642</v>
      </c>
      <c r="J205" s="670"/>
    </row>
    <row r="206" spans="1:17" ht="146.25" customHeight="1" x14ac:dyDescent="0.2">
      <c r="A206" s="581" t="s">
        <v>499</v>
      </c>
      <c r="B206" s="482">
        <v>1</v>
      </c>
      <c r="C206" s="583">
        <v>6000000</v>
      </c>
      <c r="D206" s="521">
        <v>6000000</v>
      </c>
      <c r="E206" s="490">
        <f t="shared" si="15"/>
        <v>0</v>
      </c>
      <c r="F206" s="491">
        <f t="shared" si="16"/>
        <v>0</v>
      </c>
      <c r="G206" s="509"/>
      <c r="H206" s="505"/>
      <c r="I206" s="587" t="s">
        <v>643</v>
      </c>
      <c r="J206" s="670"/>
    </row>
    <row r="207" spans="1:17" s="526" customFormat="1" ht="126" customHeight="1" x14ac:dyDescent="0.2">
      <c r="A207" s="418" t="s">
        <v>490</v>
      </c>
      <c r="B207" s="423">
        <v>5</v>
      </c>
      <c r="C207" s="424">
        <v>277025037</v>
      </c>
      <c r="D207" s="424">
        <v>216832797</v>
      </c>
      <c r="E207" s="490">
        <f>C207-D207</f>
        <v>60192240</v>
      </c>
      <c r="F207" s="491">
        <f>E207/C207</f>
        <v>0.2172808662056058</v>
      </c>
      <c r="G207" s="537" t="s">
        <v>611</v>
      </c>
      <c r="H207" s="413"/>
      <c r="I207" s="577"/>
      <c r="J207" s="684">
        <v>30096121</v>
      </c>
      <c r="K207" s="681">
        <f>E207-J207</f>
        <v>30096119</v>
      </c>
      <c r="L207" s="680">
        <f>(J207/180)*135</f>
        <v>22572090.75</v>
      </c>
      <c r="M207" s="682">
        <f>E207-L207</f>
        <v>37620149.25</v>
      </c>
      <c r="N207" s="680">
        <f>(J207/180)*150</f>
        <v>25080100.833333336</v>
      </c>
      <c r="O207" s="682">
        <f>E207-N207</f>
        <v>35112139.166666664</v>
      </c>
      <c r="P207" s="680">
        <f>(J207/180)*165</f>
        <v>27588110.916666668</v>
      </c>
      <c r="Q207" s="682">
        <f>E207-P207</f>
        <v>32604129.083333332</v>
      </c>
    </row>
    <row r="208" spans="1:17" x14ac:dyDescent="0.2">
      <c r="A208" s="696" t="s">
        <v>101</v>
      </c>
      <c r="B208" s="697"/>
      <c r="C208" s="513">
        <f>SUM(C200:C207)</f>
        <v>390025037</v>
      </c>
      <c r="D208" s="513">
        <f>SUM(D200:D207)</f>
        <v>297832797</v>
      </c>
      <c r="E208" s="513">
        <f>SUM(E200:E207)</f>
        <v>92192240</v>
      </c>
      <c r="F208" s="515">
        <f>E208/C208</f>
        <v>0.23637518429361754</v>
      </c>
      <c r="G208" s="516"/>
      <c r="H208" s="517"/>
      <c r="I208" s="518"/>
      <c r="J208" s="670"/>
    </row>
    <row r="209" spans="1:17" ht="12.75" customHeight="1" x14ac:dyDescent="0.2">
      <c r="A209" s="494" t="s">
        <v>1</v>
      </c>
      <c r="B209" s="698" t="s">
        <v>45</v>
      </c>
      <c r="C209" s="699"/>
      <c r="D209" s="699"/>
      <c r="E209" s="699"/>
      <c r="F209" s="699"/>
      <c r="G209" s="699"/>
      <c r="H209" s="699"/>
      <c r="I209" s="700"/>
      <c r="J209" s="670"/>
    </row>
    <row r="210" spans="1:17" ht="12.75" customHeight="1" x14ac:dyDescent="0.2">
      <c r="A210" s="494" t="s">
        <v>3</v>
      </c>
      <c r="B210" s="698" t="s">
        <v>77</v>
      </c>
      <c r="C210" s="699"/>
      <c r="D210" s="699"/>
      <c r="E210" s="699"/>
      <c r="F210" s="699"/>
      <c r="G210" s="699"/>
      <c r="H210" s="699"/>
      <c r="I210" s="700"/>
      <c r="J210" s="670"/>
    </row>
    <row r="211" spans="1:17" x14ac:dyDescent="0.2">
      <c r="A211" s="494" t="s">
        <v>5</v>
      </c>
      <c r="B211" s="691" t="s">
        <v>102</v>
      </c>
      <c r="C211" s="692"/>
      <c r="D211" s="692"/>
      <c r="E211" s="692"/>
      <c r="F211" s="692"/>
      <c r="G211" s="692"/>
      <c r="H211" s="692"/>
      <c r="I211" s="693"/>
      <c r="J211" s="670"/>
    </row>
    <row r="212" spans="1:17" x14ac:dyDescent="0.2">
      <c r="A212" s="494" t="s">
        <v>6</v>
      </c>
      <c r="B212" s="691" t="s">
        <v>79</v>
      </c>
      <c r="C212" s="692"/>
      <c r="D212" s="692"/>
      <c r="E212" s="692"/>
      <c r="F212" s="692"/>
      <c r="G212" s="692"/>
      <c r="H212" s="692"/>
      <c r="I212" s="693"/>
      <c r="J212" s="670"/>
    </row>
    <row r="213" spans="1:17" x14ac:dyDescent="0.2">
      <c r="A213" s="494" t="s">
        <v>8</v>
      </c>
      <c r="B213" s="691" t="s">
        <v>103</v>
      </c>
      <c r="C213" s="692"/>
      <c r="D213" s="692"/>
      <c r="E213" s="692"/>
      <c r="F213" s="692"/>
      <c r="G213" s="692"/>
      <c r="H213" s="692"/>
      <c r="I213" s="693"/>
      <c r="J213" s="670"/>
    </row>
    <row r="214" spans="1:17" ht="36" x14ac:dyDescent="0.2">
      <c r="A214" s="504" t="s">
        <v>10</v>
      </c>
      <c r="B214" s="505" t="s">
        <v>11</v>
      </c>
      <c r="C214" s="506" t="s">
        <v>12</v>
      </c>
      <c r="D214" s="507" t="s">
        <v>13</v>
      </c>
      <c r="E214" s="508" t="s">
        <v>14</v>
      </c>
      <c r="F214" s="505" t="s">
        <v>15</v>
      </c>
      <c r="G214" s="509" t="s">
        <v>16</v>
      </c>
      <c r="H214" s="505" t="s">
        <v>17</v>
      </c>
      <c r="I214" s="510" t="s">
        <v>18</v>
      </c>
      <c r="J214" s="670"/>
    </row>
    <row r="215" spans="1:17" s="526" customFormat="1" ht="92.25" customHeight="1" x14ac:dyDescent="0.2">
      <c r="A215" s="118" t="s">
        <v>502</v>
      </c>
      <c r="B215" s="423">
        <v>1</v>
      </c>
      <c r="C215" s="424">
        <v>30000000</v>
      </c>
      <c r="D215" s="521">
        <v>0</v>
      </c>
      <c r="E215" s="490">
        <f>C215-D215</f>
        <v>30000000</v>
      </c>
      <c r="F215" s="491">
        <f>E215/C215</f>
        <v>1</v>
      </c>
      <c r="G215" s="537"/>
      <c r="H215" s="413"/>
      <c r="I215" s="114"/>
      <c r="J215" s="686"/>
      <c r="K215" s="686"/>
      <c r="L215" s="686"/>
      <c r="M215" s="686"/>
      <c r="N215" s="686"/>
      <c r="O215" s="686"/>
      <c r="P215" s="686"/>
      <c r="Q215" s="686"/>
    </row>
    <row r="216" spans="1:17" s="526" customFormat="1" ht="87" customHeight="1" x14ac:dyDescent="0.2">
      <c r="A216" s="418" t="s">
        <v>490</v>
      </c>
      <c r="B216" s="423">
        <v>5</v>
      </c>
      <c r="C216" s="424">
        <v>259232201</v>
      </c>
      <c r="D216" s="424">
        <f>160268193+50160200</f>
        <v>210428393</v>
      </c>
      <c r="E216" s="490">
        <f>C216-D216</f>
        <v>48803808</v>
      </c>
      <c r="F216" s="491">
        <f>E216/C216</f>
        <v>0.18826290797106646</v>
      </c>
      <c r="G216" s="537" t="s">
        <v>616</v>
      </c>
      <c r="H216" s="413"/>
      <c r="I216" s="114"/>
      <c r="J216" s="684">
        <v>48803804</v>
      </c>
      <c r="K216" s="681">
        <f>E216-J216</f>
        <v>4</v>
      </c>
      <c r="L216" s="680">
        <f>(J216/180)*135</f>
        <v>36602853</v>
      </c>
      <c r="M216" s="682">
        <f>E216-L216</f>
        <v>12200955</v>
      </c>
      <c r="N216" s="680">
        <f>(J216/180)*150</f>
        <v>40669836.666666664</v>
      </c>
      <c r="O216" s="682">
        <f>E216-N216</f>
        <v>8133971.3333333358</v>
      </c>
      <c r="P216" s="680">
        <f>(J216/180)*165</f>
        <v>44736820.333333328</v>
      </c>
      <c r="Q216" s="682">
        <f>E216-P216</f>
        <v>4066987.6666666716</v>
      </c>
    </row>
    <row r="217" spans="1:17" ht="35.25" customHeight="1" x14ac:dyDescent="0.2">
      <c r="A217" s="694" t="s">
        <v>104</v>
      </c>
      <c r="B217" s="695"/>
      <c r="C217" s="513">
        <f>SUM(C215:C216)</f>
        <v>289232201</v>
      </c>
      <c r="D217" s="514">
        <f>SUM(D215:D216)</f>
        <v>210428393</v>
      </c>
      <c r="E217" s="514">
        <f>SUM(E215:E216)</f>
        <v>78803808</v>
      </c>
      <c r="F217" s="515">
        <f>E217/C217</f>
        <v>0.27245862572542534</v>
      </c>
      <c r="G217" s="516"/>
      <c r="H217" s="517"/>
      <c r="I217" s="518"/>
      <c r="J217" s="670"/>
    </row>
    <row r="218" spans="1:17" ht="12.75" customHeight="1" x14ac:dyDescent="0.2">
      <c r="A218" s="494" t="s">
        <v>1</v>
      </c>
      <c r="B218" s="698" t="s">
        <v>45</v>
      </c>
      <c r="C218" s="699"/>
      <c r="D218" s="699"/>
      <c r="E218" s="699"/>
      <c r="F218" s="699"/>
      <c r="G218" s="699"/>
      <c r="H218" s="699"/>
      <c r="I218" s="700"/>
      <c r="J218" s="670"/>
    </row>
    <row r="219" spans="1:17" ht="12.75" customHeight="1" x14ac:dyDescent="0.2">
      <c r="A219" s="494" t="s">
        <v>3</v>
      </c>
      <c r="B219" s="698" t="s">
        <v>77</v>
      </c>
      <c r="C219" s="699"/>
      <c r="D219" s="699"/>
      <c r="E219" s="699"/>
      <c r="F219" s="699"/>
      <c r="G219" s="699"/>
      <c r="H219" s="699"/>
      <c r="I219" s="700"/>
      <c r="J219" s="670"/>
    </row>
    <row r="220" spans="1:17" ht="12.75" customHeight="1" x14ac:dyDescent="0.2">
      <c r="A220" s="494" t="s">
        <v>5</v>
      </c>
      <c r="B220" s="691" t="s">
        <v>105</v>
      </c>
      <c r="C220" s="692"/>
      <c r="D220" s="692"/>
      <c r="E220" s="692"/>
      <c r="F220" s="692"/>
      <c r="G220" s="692"/>
      <c r="H220" s="692"/>
      <c r="I220" s="693"/>
      <c r="J220" s="670"/>
    </row>
    <row r="221" spans="1:17" x14ac:dyDescent="0.2">
      <c r="A221" s="494" t="s">
        <v>6</v>
      </c>
      <c r="B221" s="691" t="s">
        <v>79</v>
      </c>
      <c r="C221" s="692"/>
      <c r="D221" s="692"/>
      <c r="E221" s="692"/>
      <c r="F221" s="692"/>
      <c r="G221" s="692"/>
      <c r="H221" s="692"/>
      <c r="I221" s="693"/>
      <c r="J221" s="670"/>
    </row>
    <row r="222" spans="1:17" x14ac:dyDescent="0.2">
      <c r="A222" s="494" t="s">
        <v>8</v>
      </c>
      <c r="B222" s="691" t="s">
        <v>453</v>
      </c>
      <c r="C222" s="692"/>
      <c r="D222" s="692"/>
      <c r="E222" s="692"/>
      <c r="F222" s="692"/>
      <c r="G222" s="692"/>
      <c r="H222" s="692"/>
      <c r="I222" s="693"/>
      <c r="J222" s="670"/>
    </row>
    <row r="223" spans="1:17" ht="36" x14ac:dyDescent="0.2">
      <c r="A223" s="504" t="s">
        <v>10</v>
      </c>
      <c r="B223" s="505" t="s">
        <v>11</v>
      </c>
      <c r="C223" s="506" t="s">
        <v>12</v>
      </c>
      <c r="D223" s="507" t="s">
        <v>13</v>
      </c>
      <c r="E223" s="508" t="s">
        <v>14</v>
      </c>
      <c r="F223" s="505" t="s">
        <v>15</v>
      </c>
      <c r="G223" s="509" t="s">
        <v>16</v>
      </c>
      <c r="H223" s="505" t="s">
        <v>17</v>
      </c>
      <c r="I223" s="510" t="s">
        <v>18</v>
      </c>
      <c r="J223" s="670"/>
    </row>
    <row r="224" spans="1:17" x14ac:dyDescent="0.2">
      <c r="A224" s="418" t="s">
        <v>490</v>
      </c>
      <c r="B224" s="423">
        <v>1</v>
      </c>
      <c r="C224" s="521">
        <v>61380189</v>
      </c>
      <c r="D224" s="521">
        <v>61380189</v>
      </c>
      <c r="E224" s="490">
        <f>C224-D224</f>
        <v>0</v>
      </c>
      <c r="F224" s="491">
        <f>E224/C224</f>
        <v>0</v>
      </c>
      <c r="G224" s="537" t="s">
        <v>617</v>
      </c>
      <c r="H224" s="413"/>
      <c r="I224" s="114"/>
      <c r="J224" s="680">
        <v>0</v>
      </c>
      <c r="K224" s="681">
        <f>E224-J224</f>
        <v>0</v>
      </c>
      <c r="L224" s="680">
        <f>(J224/180)*135</f>
        <v>0</v>
      </c>
      <c r="M224" s="682">
        <f>E224-L224</f>
        <v>0</v>
      </c>
      <c r="N224" s="680">
        <f>(J224/180)*150</f>
        <v>0</v>
      </c>
      <c r="O224" s="682">
        <f>E224-N224</f>
        <v>0</v>
      </c>
      <c r="P224" s="680">
        <f>(J224/180)*165</f>
        <v>0</v>
      </c>
      <c r="Q224" s="682">
        <f>E224-P224</f>
        <v>0</v>
      </c>
    </row>
    <row r="225" spans="1:17" ht="12.75" customHeight="1" x14ac:dyDescent="0.2">
      <c r="A225" s="696" t="s">
        <v>418</v>
      </c>
      <c r="B225" s="697"/>
      <c r="C225" s="513">
        <f>SUM(C224:C224)</f>
        <v>61380189</v>
      </c>
      <c r="D225" s="514">
        <f>SUM(D224:D224)</f>
        <v>61380189</v>
      </c>
      <c r="E225" s="588">
        <f>C225-D225</f>
        <v>0</v>
      </c>
      <c r="F225" s="515">
        <f>E225/C225</f>
        <v>0</v>
      </c>
      <c r="G225" s="516"/>
      <c r="H225" s="517"/>
      <c r="I225" s="518"/>
      <c r="J225" s="670"/>
    </row>
    <row r="226" spans="1:17" ht="12.75" customHeight="1" x14ac:dyDescent="0.2">
      <c r="A226" s="494" t="s">
        <v>107</v>
      </c>
      <c r="B226" s="698" t="s">
        <v>108</v>
      </c>
      <c r="C226" s="699"/>
      <c r="D226" s="699"/>
      <c r="E226" s="699"/>
      <c r="F226" s="699"/>
      <c r="G226" s="699"/>
      <c r="H226" s="699"/>
      <c r="I226" s="792"/>
      <c r="J226" s="670"/>
    </row>
    <row r="227" spans="1:17" ht="12.75" customHeight="1" x14ac:dyDescent="0.2">
      <c r="A227" s="494" t="s">
        <v>3</v>
      </c>
      <c r="B227" s="698" t="s">
        <v>109</v>
      </c>
      <c r="C227" s="699"/>
      <c r="D227" s="699"/>
      <c r="E227" s="699"/>
      <c r="F227" s="699"/>
      <c r="G227" s="699"/>
      <c r="H227" s="699"/>
      <c r="I227" s="700"/>
      <c r="J227" s="670"/>
    </row>
    <row r="228" spans="1:17" ht="12.75" customHeight="1" x14ac:dyDescent="0.2">
      <c r="A228" s="494" t="s">
        <v>5</v>
      </c>
      <c r="B228" s="691" t="s">
        <v>110</v>
      </c>
      <c r="C228" s="692"/>
      <c r="D228" s="692"/>
      <c r="E228" s="692"/>
      <c r="F228" s="692"/>
      <c r="G228" s="692"/>
      <c r="H228" s="692"/>
      <c r="I228" s="693"/>
      <c r="J228" s="670"/>
    </row>
    <row r="229" spans="1:17" ht="12.75" customHeight="1" x14ac:dyDescent="0.2">
      <c r="A229" s="494" t="s">
        <v>111</v>
      </c>
      <c r="B229" s="691" t="s">
        <v>112</v>
      </c>
      <c r="C229" s="692"/>
      <c r="D229" s="692"/>
      <c r="E229" s="692"/>
      <c r="F229" s="692"/>
      <c r="G229" s="692"/>
      <c r="H229" s="692"/>
      <c r="I229" s="693"/>
      <c r="J229" s="670"/>
    </row>
    <row r="230" spans="1:17" x14ac:dyDescent="0.2">
      <c r="A230" s="494" t="s">
        <v>6</v>
      </c>
      <c r="B230" s="691" t="s">
        <v>79</v>
      </c>
      <c r="C230" s="692"/>
      <c r="D230" s="692"/>
      <c r="E230" s="692"/>
      <c r="F230" s="692"/>
      <c r="G230" s="692"/>
      <c r="H230" s="692"/>
      <c r="I230" s="693"/>
      <c r="J230" s="670"/>
    </row>
    <row r="231" spans="1:17" x14ac:dyDescent="0.2">
      <c r="A231" s="494" t="s">
        <v>8</v>
      </c>
      <c r="B231" s="691" t="s">
        <v>113</v>
      </c>
      <c r="C231" s="692"/>
      <c r="D231" s="692"/>
      <c r="E231" s="692"/>
      <c r="F231" s="692"/>
      <c r="G231" s="692"/>
      <c r="H231" s="692"/>
      <c r="I231" s="693"/>
      <c r="J231" s="670"/>
    </row>
    <row r="232" spans="1:17" ht="36" x14ac:dyDescent="0.2">
      <c r="A232" s="504" t="s">
        <v>10</v>
      </c>
      <c r="B232" s="505" t="s">
        <v>11</v>
      </c>
      <c r="C232" s="506" t="s">
        <v>12</v>
      </c>
      <c r="D232" s="507" t="s">
        <v>13</v>
      </c>
      <c r="E232" s="508" t="s">
        <v>14</v>
      </c>
      <c r="F232" s="505" t="s">
        <v>15</v>
      </c>
      <c r="G232" s="509" t="s">
        <v>16</v>
      </c>
      <c r="H232" s="505" t="s">
        <v>17</v>
      </c>
      <c r="I232" s="510" t="s">
        <v>18</v>
      </c>
      <c r="J232" s="670"/>
    </row>
    <row r="233" spans="1:17" ht="51.75" customHeight="1" x14ac:dyDescent="0.2">
      <c r="A233" s="589" t="s">
        <v>504</v>
      </c>
      <c r="B233" s="590">
        <v>2</v>
      </c>
      <c r="C233" s="591">
        <v>1000000</v>
      </c>
      <c r="D233" s="521">
        <v>0</v>
      </c>
      <c r="E233" s="490">
        <f t="shared" ref="E233:E239" si="17">C233-D233</f>
        <v>1000000</v>
      </c>
      <c r="F233" s="491">
        <f t="shared" ref="F233:F240" si="18">E233/C233</f>
        <v>1</v>
      </c>
      <c r="G233" s="509"/>
      <c r="H233" s="505"/>
      <c r="I233" s="510"/>
      <c r="J233" s="670"/>
    </row>
    <row r="234" spans="1:17" ht="60.75" customHeight="1" x14ac:dyDescent="0.2">
      <c r="A234" s="589" t="s">
        <v>505</v>
      </c>
      <c r="B234" s="590">
        <v>1</v>
      </c>
      <c r="C234" s="591">
        <v>5000000</v>
      </c>
      <c r="D234" s="521">
        <v>0</v>
      </c>
      <c r="E234" s="490">
        <f t="shared" si="17"/>
        <v>5000000</v>
      </c>
      <c r="F234" s="491">
        <f t="shared" si="18"/>
        <v>1</v>
      </c>
      <c r="G234" s="509"/>
      <c r="H234" s="505"/>
      <c r="I234" s="510"/>
      <c r="J234" s="670"/>
    </row>
    <row r="235" spans="1:17" ht="61.5" customHeight="1" x14ac:dyDescent="0.2">
      <c r="A235" s="118" t="s">
        <v>506</v>
      </c>
      <c r="B235" s="414">
        <v>2</v>
      </c>
      <c r="C235" s="592">
        <v>20000000</v>
      </c>
      <c r="D235" s="521">
        <v>20000000</v>
      </c>
      <c r="E235" s="490">
        <f t="shared" si="17"/>
        <v>0</v>
      </c>
      <c r="F235" s="491">
        <f t="shared" si="18"/>
        <v>0</v>
      </c>
      <c r="G235" s="509"/>
      <c r="H235" s="505"/>
      <c r="I235" s="510"/>
      <c r="J235" s="670"/>
    </row>
    <row r="236" spans="1:17" ht="42.75" customHeight="1" x14ac:dyDescent="0.2">
      <c r="A236" s="593" t="s">
        <v>507</v>
      </c>
      <c r="B236" s="594">
        <v>2</v>
      </c>
      <c r="C236" s="591">
        <v>5000000</v>
      </c>
      <c r="D236" s="521">
        <v>0</v>
      </c>
      <c r="E236" s="490">
        <f t="shared" si="17"/>
        <v>5000000</v>
      </c>
      <c r="F236" s="491">
        <f t="shared" si="18"/>
        <v>1</v>
      </c>
      <c r="G236" s="509"/>
      <c r="H236" s="505"/>
      <c r="I236" s="510"/>
      <c r="J236" s="670"/>
    </row>
    <row r="237" spans="1:17" ht="39" customHeight="1" x14ac:dyDescent="0.2">
      <c r="A237" s="579" t="s">
        <v>508</v>
      </c>
      <c r="B237" s="482">
        <v>1</v>
      </c>
      <c r="C237" s="595">
        <v>50000000</v>
      </c>
      <c r="D237" s="521">
        <v>0</v>
      </c>
      <c r="E237" s="490">
        <f t="shared" si="17"/>
        <v>50000000</v>
      </c>
      <c r="F237" s="491">
        <f t="shared" si="18"/>
        <v>1</v>
      </c>
      <c r="G237" s="522"/>
      <c r="H237" s="523"/>
      <c r="I237" s="524"/>
      <c r="J237" s="670"/>
    </row>
    <row r="238" spans="1:17" ht="32.25" customHeight="1" x14ac:dyDescent="0.2">
      <c r="A238" s="413" t="s">
        <v>510</v>
      </c>
      <c r="B238" s="482">
        <v>1</v>
      </c>
      <c r="C238" s="424">
        <v>12000000</v>
      </c>
      <c r="D238" s="521">
        <v>0</v>
      </c>
      <c r="E238" s="490">
        <f t="shared" si="17"/>
        <v>12000000</v>
      </c>
      <c r="F238" s="491">
        <f t="shared" si="18"/>
        <v>1</v>
      </c>
      <c r="G238" s="522"/>
      <c r="H238" s="523"/>
      <c r="I238" s="524"/>
      <c r="J238" s="670"/>
    </row>
    <row r="239" spans="1:17" ht="69.75" customHeight="1" x14ac:dyDescent="0.2">
      <c r="A239" s="596" t="s">
        <v>490</v>
      </c>
      <c r="B239" s="482">
        <v>4</v>
      </c>
      <c r="C239" s="424">
        <v>203444678</v>
      </c>
      <c r="D239" s="424">
        <v>113156318</v>
      </c>
      <c r="E239" s="490">
        <f t="shared" si="17"/>
        <v>90288360</v>
      </c>
      <c r="F239" s="491">
        <f t="shared" si="18"/>
        <v>0.4437980923737902</v>
      </c>
      <c r="G239" s="522" t="s">
        <v>598</v>
      </c>
      <c r="H239" s="523"/>
      <c r="I239" s="524"/>
      <c r="J239" s="680">
        <v>90288444</v>
      </c>
      <c r="K239" s="681">
        <f>E239-J239</f>
        <v>-84</v>
      </c>
      <c r="L239" s="680">
        <f>(J239/180)*135</f>
        <v>67716333</v>
      </c>
      <c r="M239" s="682">
        <f>E239-L239</f>
        <v>22572027</v>
      </c>
      <c r="N239" s="680">
        <f>(J239/180)*150</f>
        <v>75240370</v>
      </c>
      <c r="O239" s="682">
        <f>E239-N239</f>
        <v>15047990</v>
      </c>
      <c r="P239" s="680">
        <f>(J239/180)*165</f>
        <v>82764407</v>
      </c>
      <c r="Q239" s="682">
        <f>E239-P239</f>
        <v>7523953</v>
      </c>
    </row>
    <row r="240" spans="1:17" x14ac:dyDescent="0.2">
      <c r="A240" s="696" t="s">
        <v>419</v>
      </c>
      <c r="B240" s="697"/>
      <c r="C240" s="513">
        <f>SUM(C233:C239)</f>
        <v>296444678</v>
      </c>
      <c r="D240" s="513">
        <f>SUM(D233:D239)</f>
        <v>133156318</v>
      </c>
      <c r="E240" s="513">
        <f>SUM(E233:E239)</f>
        <v>163288360</v>
      </c>
      <c r="F240" s="515">
        <f t="shared" si="18"/>
        <v>0.55082236962945241</v>
      </c>
      <c r="G240" s="516"/>
      <c r="H240" s="517"/>
      <c r="I240" s="518"/>
      <c r="J240" s="670"/>
    </row>
    <row r="241" spans="1:33" ht="12.75" customHeight="1" x14ac:dyDescent="0.2">
      <c r="A241" s="494" t="s">
        <v>1</v>
      </c>
      <c r="B241" s="698" t="s">
        <v>45</v>
      </c>
      <c r="C241" s="699"/>
      <c r="D241" s="699"/>
      <c r="E241" s="699"/>
      <c r="F241" s="699"/>
      <c r="G241" s="699"/>
      <c r="H241" s="699"/>
      <c r="I241" s="700"/>
      <c r="J241" s="670"/>
    </row>
    <row r="242" spans="1:33" ht="12.75" customHeight="1" x14ac:dyDescent="0.2">
      <c r="A242" s="494" t="s">
        <v>3</v>
      </c>
      <c r="B242" s="698" t="s">
        <v>77</v>
      </c>
      <c r="C242" s="699"/>
      <c r="D242" s="699"/>
      <c r="E242" s="699"/>
      <c r="F242" s="699"/>
      <c r="G242" s="699"/>
      <c r="H242" s="699"/>
      <c r="I242" s="700"/>
      <c r="J242" s="670"/>
    </row>
    <row r="243" spans="1:33" x14ac:dyDescent="0.2">
      <c r="A243" s="494" t="s">
        <v>5</v>
      </c>
      <c r="B243" s="691" t="s">
        <v>326</v>
      </c>
      <c r="C243" s="692"/>
      <c r="D243" s="692"/>
      <c r="E243" s="692"/>
      <c r="F243" s="692"/>
      <c r="G243" s="692"/>
      <c r="H243" s="692"/>
      <c r="I243" s="693"/>
      <c r="J243" s="670"/>
    </row>
    <row r="244" spans="1:33" x14ac:dyDescent="0.2">
      <c r="A244" s="494" t="s">
        <v>6</v>
      </c>
      <c r="B244" s="691" t="s">
        <v>79</v>
      </c>
      <c r="C244" s="692"/>
      <c r="D244" s="692"/>
      <c r="E244" s="692"/>
      <c r="F244" s="692"/>
      <c r="G244" s="692"/>
      <c r="H244" s="692"/>
      <c r="I244" s="693"/>
      <c r="J244" s="670"/>
    </row>
    <row r="245" spans="1:33" x14ac:dyDescent="0.2">
      <c r="A245" s="494" t="s">
        <v>8</v>
      </c>
      <c r="B245" s="691" t="s">
        <v>556</v>
      </c>
      <c r="C245" s="692"/>
      <c r="D245" s="692"/>
      <c r="E245" s="692"/>
      <c r="F245" s="692"/>
      <c r="G245" s="692"/>
      <c r="H245" s="692"/>
      <c r="I245" s="693"/>
      <c r="J245" s="670"/>
    </row>
    <row r="246" spans="1:33" ht="36" x14ac:dyDescent="0.2">
      <c r="A246" s="504" t="s">
        <v>10</v>
      </c>
      <c r="B246" s="505" t="s">
        <v>11</v>
      </c>
      <c r="C246" s="506" t="s">
        <v>12</v>
      </c>
      <c r="D246" s="507" t="s">
        <v>13</v>
      </c>
      <c r="E246" s="508" t="s">
        <v>14</v>
      </c>
      <c r="F246" s="505" t="s">
        <v>15</v>
      </c>
      <c r="G246" s="509" t="s">
        <v>16</v>
      </c>
      <c r="H246" s="505" t="s">
        <v>17</v>
      </c>
      <c r="I246" s="510" t="s">
        <v>18</v>
      </c>
      <c r="J246" s="670"/>
    </row>
    <row r="247" spans="1:33" ht="222.75" customHeight="1" x14ac:dyDescent="0.2">
      <c r="A247" s="168" t="s">
        <v>690</v>
      </c>
      <c r="B247" s="482">
        <v>1</v>
      </c>
      <c r="C247" s="597">
        <v>13000000</v>
      </c>
      <c r="D247" s="521">
        <v>0</v>
      </c>
      <c r="E247" s="490">
        <f t="shared" ref="E247:E249" si="19">C247-D247</f>
        <v>13000000</v>
      </c>
      <c r="F247" s="491">
        <f t="shared" ref="F247:F251" si="20">E247/C247</f>
        <v>1</v>
      </c>
      <c r="G247" s="512"/>
      <c r="H247" s="505"/>
      <c r="I247" s="598" t="s">
        <v>693</v>
      </c>
      <c r="J247" s="670"/>
    </row>
    <row r="248" spans="1:33" ht="51.75" customHeight="1" x14ac:dyDescent="0.2">
      <c r="A248" s="168" t="s">
        <v>561</v>
      </c>
      <c r="B248" s="482">
        <v>1</v>
      </c>
      <c r="C248" s="597">
        <v>4000000</v>
      </c>
      <c r="D248" s="521">
        <v>0</v>
      </c>
      <c r="E248" s="490">
        <f t="shared" si="19"/>
        <v>4000000</v>
      </c>
      <c r="F248" s="491">
        <f t="shared" si="20"/>
        <v>1</v>
      </c>
      <c r="G248" s="512"/>
      <c r="H248" s="505"/>
      <c r="I248" s="510"/>
      <c r="J248" s="670"/>
    </row>
    <row r="249" spans="1:33" ht="60.75" customHeight="1" x14ac:dyDescent="0.2">
      <c r="A249" s="599" t="s">
        <v>562</v>
      </c>
      <c r="B249" s="482">
        <v>3</v>
      </c>
      <c r="C249" s="424">
        <v>151822137</v>
      </c>
      <c r="D249" s="424">
        <v>67227993</v>
      </c>
      <c r="E249" s="490">
        <f t="shared" si="19"/>
        <v>84594144</v>
      </c>
      <c r="F249" s="491">
        <f t="shared" si="20"/>
        <v>0.55719242049662365</v>
      </c>
      <c r="G249" s="512" t="s">
        <v>599</v>
      </c>
      <c r="H249" s="505"/>
      <c r="I249" s="510"/>
      <c r="J249" s="680">
        <v>84594144</v>
      </c>
      <c r="K249" s="681">
        <f>E249-J249</f>
        <v>0</v>
      </c>
      <c r="L249" s="680">
        <f>(J249/180)*135</f>
        <v>63445608</v>
      </c>
      <c r="M249" s="682">
        <f>E249-L249</f>
        <v>21148536</v>
      </c>
      <c r="N249" s="680">
        <f>(J249/180)*150</f>
        <v>70495120</v>
      </c>
      <c r="O249" s="682">
        <f>E249-N249</f>
        <v>14099024</v>
      </c>
      <c r="P249" s="680">
        <f>(J249/180)*165</f>
        <v>77544632</v>
      </c>
      <c r="Q249" s="682">
        <f>E249-P249</f>
        <v>7049512</v>
      </c>
    </row>
    <row r="250" spans="1:33" x14ac:dyDescent="0.2">
      <c r="A250" s="761" t="s">
        <v>402</v>
      </c>
      <c r="B250" s="762"/>
      <c r="C250" s="600">
        <f>SUM(C247:C249)</f>
        <v>168822137</v>
      </c>
      <c r="D250" s="600">
        <f>SUM(D247:D249)</f>
        <v>67227993</v>
      </c>
      <c r="E250" s="600">
        <f>SUM(E247:E249)</f>
        <v>101594144</v>
      </c>
      <c r="F250" s="601">
        <f t="shared" si="20"/>
        <v>0.60178212292147448</v>
      </c>
      <c r="G250" s="602"/>
      <c r="H250" s="603"/>
      <c r="I250" s="604"/>
      <c r="J250" s="670"/>
    </row>
    <row r="251" spans="1:33" ht="12.75" customHeight="1" x14ac:dyDescent="0.2">
      <c r="A251" s="696" t="s">
        <v>350</v>
      </c>
      <c r="B251" s="697"/>
      <c r="C251" s="513">
        <f>C240+C225+C217+C208+C193+C250</f>
        <v>1633639883</v>
      </c>
      <c r="D251" s="513">
        <f>D240+D225+D217+D208+D193+D250</f>
        <v>1000845318</v>
      </c>
      <c r="E251" s="513">
        <f>E240+E225+E217+E208+E193+E250</f>
        <v>632794565</v>
      </c>
      <c r="F251" s="515">
        <f t="shared" si="20"/>
        <v>0.38735254420817783</v>
      </c>
      <c r="G251" s="516"/>
      <c r="H251" s="517"/>
      <c r="I251" s="518"/>
      <c r="J251" s="670"/>
    </row>
    <row r="252" spans="1:33" ht="24" customHeight="1" x14ac:dyDescent="0.2">
      <c r="A252" s="758" t="s">
        <v>115</v>
      </c>
      <c r="B252" s="759"/>
      <c r="C252" s="759"/>
      <c r="D252" s="759"/>
      <c r="E252" s="759"/>
      <c r="F252" s="759"/>
      <c r="G252" s="759"/>
      <c r="H252" s="759"/>
      <c r="I252" s="760"/>
      <c r="J252" s="670"/>
    </row>
    <row r="253" spans="1:33" ht="12.75" customHeight="1" x14ac:dyDescent="0.2">
      <c r="A253" s="494" t="s">
        <v>25</v>
      </c>
      <c r="B253" s="698" t="s">
        <v>43</v>
      </c>
      <c r="C253" s="699"/>
      <c r="D253" s="699"/>
      <c r="E253" s="699"/>
      <c r="F253" s="699"/>
      <c r="G253" s="699"/>
      <c r="H253" s="699"/>
      <c r="I253" s="700"/>
      <c r="J253" s="670"/>
    </row>
    <row r="254" spans="1:33" ht="12.75" customHeight="1" x14ac:dyDescent="0.2">
      <c r="A254" s="494" t="s">
        <v>3</v>
      </c>
      <c r="B254" s="698" t="s">
        <v>116</v>
      </c>
      <c r="C254" s="699"/>
      <c r="D254" s="699"/>
      <c r="E254" s="699"/>
      <c r="F254" s="699"/>
      <c r="G254" s="699"/>
      <c r="H254" s="699"/>
      <c r="I254" s="700"/>
      <c r="J254" s="670"/>
    </row>
    <row r="255" spans="1:33" s="606" customFormat="1" ht="12.75" customHeight="1" x14ac:dyDescent="0.2">
      <c r="A255" s="494" t="s">
        <v>5</v>
      </c>
      <c r="B255" s="691" t="s">
        <v>119</v>
      </c>
      <c r="C255" s="692"/>
      <c r="D255" s="692"/>
      <c r="E255" s="692"/>
      <c r="F255" s="692"/>
      <c r="G255" s="692"/>
      <c r="H255" s="692"/>
      <c r="I255" s="693"/>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row>
    <row r="256" spans="1:33" s="606" customFormat="1" ht="12.75" customHeight="1" x14ac:dyDescent="0.2">
      <c r="A256" s="494" t="s">
        <v>6</v>
      </c>
      <c r="B256" s="691" t="s">
        <v>117</v>
      </c>
      <c r="C256" s="692"/>
      <c r="D256" s="692"/>
      <c r="E256" s="692"/>
      <c r="F256" s="692"/>
      <c r="G256" s="692"/>
      <c r="H256" s="692"/>
      <c r="I256" s="693"/>
      <c r="J256" s="605"/>
      <c r="K256" s="605"/>
      <c r="L256" s="605"/>
      <c r="M256" s="605"/>
      <c r="N256" s="605"/>
      <c r="O256" s="605"/>
      <c r="P256" s="605"/>
      <c r="Q256" s="605"/>
      <c r="R256" s="607"/>
      <c r="S256" s="607"/>
      <c r="T256" s="607"/>
      <c r="U256" s="607"/>
      <c r="V256" s="607"/>
      <c r="W256" s="607"/>
      <c r="X256" s="607"/>
      <c r="Y256" s="607"/>
      <c r="Z256" s="607"/>
      <c r="AA256" s="607"/>
      <c r="AB256" s="607"/>
      <c r="AC256" s="607"/>
      <c r="AD256" s="607"/>
      <c r="AE256" s="607"/>
      <c r="AF256" s="607"/>
      <c r="AG256" s="607"/>
    </row>
    <row r="257" spans="1:33" s="606" customFormat="1" ht="12.75" customHeight="1" x14ac:dyDescent="0.2">
      <c r="A257" s="494" t="s">
        <v>8</v>
      </c>
      <c r="B257" s="691" t="s">
        <v>118</v>
      </c>
      <c r="C257" s="692"/>
      <c r="D257" s="692"/>
      <c r="E257" s="692"/>
      <c r="F257" s="692"/>
      <c r="G257" s="692"/>
      <c r="H257" s="692"/>
      <c r="I257" s="693"/>
      <c r="J257" s="605"/>
      <c r="K257" s="605"/>
      <c r="L257" s="605"/>
      <c r="M257" s="605"/>
      <c r="N257" s="605"/>
      <c r="O257" s="605"/>
      <c r="P257" s="605"/>
      <c r="Q257" s="605"/>
      <c r="R257" s="607"/>
      <c r="S257" s="607"/>
      <c r="T257" s="607"/>
      <c r="U257" s="607"/>
      <c r="V257" s="607"/>
      <c r="W257" s="607"/>
      <c r="X257" s="607"/>
      <c r="Y257" s="607"/>
      <c r="Z257" s="607"/>
      <c r="AA257" s="607"/>
      <c r="AB257" s="607" t="s">
        <v>205</v>
      </c>
      <c r="AC257" s="607"/>
      <c r="AD257" s="607"/>
      <c r="AE257" s="607" t="s">
        <v>75</v>
      </c>
      <c r="AF257" s="607"/>
      <c r="AG257" s="607"/>
    </row>
    <row r="258" spans="1:33" s="606" customFormat="1" ht="36" x14ac:dyDescent="0.2">
      <c r="A258" s="504" t="s">
        <v>10</v>
      </c>
      <c r="B258" s="505" t="s">
        <v>11</v>
      </c>
      <c r="C258" s="506" t="s">
        <v>12</v>
      </c>
      <c r="D258" s="507" t="s">
        <v>13</v>
      </c>
      <c r="E258" s="508" t="s">
        <v>14</v>
      </c>
      <c r="F258" s="505" t="s">
        <v>15</v>
      </c>
      <c r="G258" s="509" t="s">
        <v>16</v>
      </c>
      <c r="H258" s="505" t="s">
        <v>17</v>
      </c>
      <c r="I258" s="510" t="s">
        <v>18</v>
      </c>
      <c r="J258" s="687"/>
      <c r="K258" s="687"/>
      <c r="L258" s="687"/>
      <c r="M258" s="687"/>
      <c r="N258" s="687"/>
      <c r="O258" s="687"/>
      <c r="P258" s="687"/>
      <c r="Q258" s="687"/>
      <c r="R258" s="608"/>
      <c r="S258" s="608"/>
      <c r="T258" s="608"/>
      <c r="U258" s="608"/>
      <c r="V258" s="608"/>
      <c r="W258" s="608"/>
      <c r="X258" s="608"/>
      <c r="Y258" s="608"/>
      <c r="Z258" s="608"/>
      <c r="AA258" s="608"/>
      <c r="AB258" s="608"/>
      <c r="AC258" s="608"/>
      <c r="AD258" s="608"/>
      <c r="AE258" s="608"/>
      <c r="AF258" s="608"/>
      <c r="AG258" s="608"/>
    </row>
    <row r="259" spans="1:33" s="606" customFormat="1" x14ac:dyDescent="0.2">
      <c r="A259" s="165" t="s">
        <v>511</v>
      </c>
      <c r="B259" s="423">
        <v>1</v>
      </c>
      <c r="C259" s="424">
        <v>6000000</v>
      </c>
      <c r="D259" s="521">
        <v>0</v>
      </c>
      <c r="E259" s="490">
        <f>C259-D259</f>
        <v>6000000</v>
      </c>
      <c r="F259" s="491">
        <f>E259/C259</f>
        <v>1</v>
      </c>
      <c r="G259" s="509"/>
      <c r="H259" s="505"/>
      <c r="I259" s="510"/>
      <c r="J259" s="687"/>
      <c r="K259" s="687"/>
      <c r="L259" s="687"/>
      <c r="M259" s="687"/>
      <c r="N259" s="687"/>
      <c r="O259" s="687"/>
      <c r="P259" s="687"/>
      <c r="Q259" s="687"/>
      <c r="R259" s="608"/>
      <c r="S259" s="608"/>
      <c r="T259" s="608"/>
      <c r="U259" s="608"/>
      <c r="V259" s="608"/>
      <c r="W259" s="608"/>
      <c r="X259" s="608"/>
      <c r="Y259" s="608"/>
      <c r="Z259" s="608"/>
      <c r="AA259" s="608"/>
      <c r="AB259" s="608"/>
      <c r="AC259" s="608"/>
      <c r="AD259" s="608"/>
      <c r="AE259" s="608"/>
      <c r="AF259" s="608"/>
      <c r="AG259" s="608"/>
    </row>
    <row r="260" spans="1:33" x14ac:dyDescent="0.2">
      <c r="A260" s="166" t="s">
        <v>120</v>
      </c>
      <c r="B260" s="423">
        <v>1</v>
      </c>
      <c r="C260" s="424">
        <v>6000000</v>
      </c>
      <c r="D260" s="521">
        <v>0</v>
      </c>
      <c r="E260" s="490">
        <f>C260-D260</f>
        <v>6000000</v>
      </c>
      <c r="F260" s="491">
        <f>E260/C260</f>
        <v>1</v>
      </c>
      <c r="G260" s="509"/>
      <c r="H260" s="505"/>
      <c r="I260" s="510"/>
      <c r="J260" s="670"/>
    </row>
    <row r="261" spans="1:33" ht="30.75" customHeight="1" x14ac:dyDescent="0.2">
      <c r="A261" s="439" t="s">
        <v>512</v>
      </c>
      <c r="B261" s="423">
        <v>2</v>
      </c>
      <c r="C261" s="424">
        <v>12000000</v>
      </c>
      <c r="D261" s="521">
        <v>0</v>
      </c>
      <c r="E261" s="490">
        <f>C261-D261</f>
        <v>12000000</v>
      </c>
      <c r="F261" s="491">
        <f>E261/C261</f>
        <v>1</v>
      </c>
      <c r="G261" s="545"/>
      <c r="H261" s="546"/>
      <c r="I261" s="548"/>
      <c r="J261" s="670"/>
    </row>
    <row r="262" spans="1:33" ht="12.75" customHeight="1" x14ac:dyDescent="0.2">
      <c r="A262" s="596" t="s">
        <v>490</v>
      </c>
      <c r="B262" s="423">
        <v>1</v>
      </c>
      <c r="C262" s="424">
        <v>54841928</v>
      </c>
      <c r="D262" s="521">
        <v>54841928</v>
      </c>
      <c r="E262" s="490">
        <f>C262-D262</f>
        <v>0</v>
      </c>
      <c r="F262" s="491">
        <f>E262/C262</f>
        <v>0</v>
      </c>
      <c r="G262" s="537" t="s">
        <v>596</v>
      </c>
      <c r="H262" s="413"/>
      <c r="I262" s="114"/>
      <c r="J262" s="680">
        <v>0</v>
      </c>
      <c r="K262" s="681">
        <f>E262-J262</f>
        <v>0</v>
      </c>
      <c r="L262" s="680">
        <f>(J262/180)*135</f>
        <v>0</v>
      </c>
      <c r="M262" s="682">
        <f>E262-L262</f>
        <v>0</v>
      </c>
      <c r="N262" s="680">
        <f>(J262/180)*150</f>
        <v>0</v>
      </c>
      <c r="O262" s="682">
        <f>E262-N262</f>
        <v>0</v>
      </c>
      <c r="P262" s="680">
        <f>(J262/180)*165</f>
        <v>0</v>
      </c>
      <c r="Q262" s="682">
        <f>E262-P262</f>
        <v>0</v>
      </c>
    </row>
    <row r="263" spans="1:33" ht="12.75" customHeight="1" x14ac:dyDescent="0.2">
      <c r="A263" s="761" t="s">
        <v>121</v>
      </c>
      <c r="B263" s="762"/>
      <c r="C263" s="600">
        <f>SUM(C258:C262)</f>
        <v>78841928</v>
      </c>
      <c r="D263" s="600">
        <f>SUM(D258:D262)</f>
        <v>54841928</v>
      </c>
      <c r="E263" s="600">
        <f>SUM(E258:E262)</f>
        <v>24000000</v>
      </c>
      <c r="F263" s="601">
        <f>E263/C263</f>
        <v>0.30440655890606838</v>
      </c>
      <c r="G263" s="602"/>
      <c r="H263" s="603"/>
      <c r="I263" s="604"/>
      <c r="J263" s="670"/>
    </row>
    <row r="264" spans="1:33" ht="12.75" customHeight="1" x14ac:dyDescent="0.2">
      <c r="A264" s="758" t="s">
        <v>202</v>
      </c>
      <c r="B264" s="759"/>
      <c r="C264" s="759"/>
      <c r="D264" s="759"/>
      <c r="E264" s="759"/>
      <c r="F264" s="759"/>
      <c r="G264" s="759"/>
      <c r="H264" s="759"/>
      <c r="I264" s="760"/>
      <c r="J264" s="670"/>
    </row>
    <row r="265" spans="1:33" ht="12.75" customHeight="1" x14ac:dyDescent="0.2">
      <c r="A265" s="609" t="s">
        <v>25</v>
      </c>
      <c r="B265" s="763" t="s">
        <v>43</v>
      </c>
      <c r="C265" s="764"/>
      <c r="D265" s="764"/>
      <c r="E265" s="764"/>
      <c r="F265" s="764"/>
      <c r="G265" s="764"/>
      <c r="H265" s="764"/>
      <c r="I265" s="765"/>
      <c r="J265" s="670"/>
    </row>
    <row r="266" spans="1:33" x14ac:dyDescent="0.2">
      <c r="A266" s="609" t="s">
        <v>3</v>
      </c>
      <c r="B266" s="766" t="s">
        <v>74</v>
      </c>
      <c r="C266" s="767"/>
      <c r="D266" s="767"/>
      <c r="E266" s="767"/>
      <c r="F266" s="767"/>
      <c r="G266" s="767"/>
      <c r="H266" s="767"/>
      <c r="I266" s="768"/>
      <c r="J266" s="670"/>
    </row>
    <row r="267" spans="1:33" ht="12.75" customHeight="1" x14ac:dyDescent="0.2">
      <c r="A267" s="609" t="s">
        <v>5</v>
      </c>
      <c r="B267" s="763" t="s">
        <v>204</v>
      </c>
      <c r="C267" s="764"/>
      <c r="D267" s="764"/>
      <c r="E267" s="764"/>
      <c r="F267" s="764"/>
      <c r="G267" s="764"/>
      <c r="H267" s="764"/>
      <c r="I267" s="765"/>
      <c r="J267" s="670"/>
    </row>
    <row r="268" spans="1:33" x14ac:dyDescent="0.2">
      <c r="A268" s="609" t="s">
        <v>6</v>
      </c>
      <c r="B268" s="769" t="s">
        <v>206</v>
      </c>
      <c r="C268" s="770"/>
      <c r="D268" s="770"/>
      <c r="E268" s="770"/>
      <c r="F268" s="770"/>
      <c r="G268" s="770"/>
      <c r="H268" s="770"/>
      <c r="I268" s="771"/>
      <c r="J268" s="670"/>
    </row>
    <row r="269" spans="1:33" x14ac:dyDescent="0.2">
      <c r="A269" s="609" t="s">
        <v>8</v>
      </c>
      <c r="B269" s="769" t="s">
        <v>207</v>
      </c>
      <c r="C269" s="770"/>
      <c r="D269" s="770"/>
      <c r="E269" s="770"/>
      <c r="F269" s="770"/>
      <c r="G269" s="770"/>
      <c r="H269" s="770"/>
      <c r="I269" s="771"/>
    </row>
    <row r="270" spans="1:33" ht="36" x14ac:dyDescent="0.2">
      <c r="A270" s="610" t="s">
        <v>10</v>
      </c>
      <c r="B270" s="611" t="s">
        <v>11</v>
      </c>
      <c r="C270" s="612" t="s">
        <v>12</v>
      </c>
      <c r="D270" s="613" t="s">
        <v>13</v>
      </c>
      <c r="E270" s="614" t="s">
        <v>14</v>
      </c>
      <c r="F270" s="611" t="s">
        <v>15</v>
      </c>
      <c r="G270" s="615" t="s">
        <v>16</v>
      </c>
      <c r="H270" s="611" t="s">
        <v>17</v>
      </c>
      <c r="I270" s="616" t="s">
        <v>18</v>
      </c>
    </row>
    <row r="271" spans="1:33" ht="108.75" customHeight="1" x14ac:dyDescent="0.2">
      <c r="A271" s="596" t="s">
        <v>490</v>
      </c>
      <c r="B271" s="617">
        <v>5</v>
      </c>
      <c r="C271" s="424">
        <v>301382660</v>
      </c>
      <c r="D271" s="424">
        <v>241190420</v>
      </c>
      <c r="E271" s="490">
        <f>C271-D271</f>
        <v>60192240</v>
      </c>
      <c r="F271" s="491">
        <f>E271/C271</f>
        <v>0.19972031569434021</v>
      </c>
      <c r="G271" s="547" t="s">
        <v>694</v>
      </c>
      <c r="H271" s="413"/>
      <c r="I271" s="114"/>
      <c r="J271" s="683">
        <v>30096121</v>
      </c>
      <c r="K271" s="681">
        <f>E271-J271</f>
        <v>30096119</v>
      </c>
      <c r="L271" s="680">
        <f>(J271/180)*135</f>
        <v>22572090.75</v>
      </c>
      <c r="M271" s="682">
        <f>E271-L271</f>
        <v>37620149.25</v>
      </c>
      <c r="N271" s="680">
        <f>(J271/180)*150</f>
        <v>25080100.833333336</v>
      </c>
      <c r="O271" s="682">
        <f>E271-N271</f>
        <v>35112139.166666664</v>
      </c>
      <c r="P271" s="680">
        <f>(J271/180)*165</f>
        <v>27588110.916666668</v>
      </c>
      <c r="Q271" s="682">
        <f>E271-P271</f>
        <v>32604129.083333332</v>
      </c>
    </row>
    <row r="272" spans="1:33" x14ac:dyDescent="0.2">
      <c r="A272" s="761" t="s">
        <v>203</v>
      </c>
      <c r="B272" s="762"/>
      <c r="C272" s="600">
        <f>SUM(C270:C271)</f>
        <v>301382660</v>
      </c>
      <c r="D272" s="600">
        <f>SUM(D270:D271)</f>
        <v>241190420</v>
      </c>
      <c r="E272" s="600">
        <f>SUM(E270:E271)</f>
        <v>60192240</v>
      </c>
      <c r="F272" s="601">
        <f>E272/C272</f>
        <v>0.19972031569434021</v>
      </c>
      <c r="G272" s="602"/>
      <c r="H272" s="603"/>
      <c r="I272" s="604"/>
    </row>
    <row r="273" spans="1:17" x14ac:dyDescent="0.2">
      <c r="A273" s="758" t="s">
        <v>122</v>
      </c>
      <c r="B273" s="759"/>
      <c r="C273" s="759"/>
      <c r="D273" s="759"/>
      <c r="E273" s="759"/>
      <c r="F273" s="759"/>
      <c r="G273" s="759"/>
      <c r="H273" s="759"/>
      <c r="I273" s="760"/>
    </row>
    <row r="274" spans="1:17" ht="12.75" customHeight="1" x14ac:dyDescent="0.2">
      <c r="A274" s="618" t="s">
        <v>62</v>
      </c>
      <c r="B274" s="707" t="s">
        <v>123</v>
      </c>
      <c r="C274" s="708"/>
      <c r="D274" s="708"/>
      <c r="E274" s="708"/>
      <c r="F274" s="708"/>
      <c r="G274" s="708"/>
      <c r="H274" s="708"/>
      <c r="I274" s="709"/>
    </row>
    <row r="275" spans="1:17" s="526" customFormat="1" ht="12.75" customHeight="1" x14ac:dyDescent="0.2">
      <c r="A275" s="618" t="s">
        <v>3</v>
      </c>
      <c r="B275" s="707" t="s">
        <v>126</v>
      </c>
      <c r="C275" s="708"/>
      <c r="D275" s="708"/>
      <c r="E275" s="708"/>
      <c r="F275" s="708"/>
      <c r="G275" s="708"/>
      <c r="H275" s="708"/>
      <c r="I275" s="709"/>
      <c r="J275" s="685"/>
      <c r="K275" s="686"/>
      <c r="L275" s="686"/>
      <c r="M275" s="686"/>
      <c r="N275" s="686"/>
      <c r="O275" s="686"/>
      <c r="P275" s="686"/>
      <c r="Q275" s="686"/>
    </row>
    <row r="276" spans="1:17" s="526" customFormat="1" x14ac:dyDescent="0.2">
      <c r="A276" s="618" t="s">
        <v>5</v>
      </c>
      <c r="B276" s="701" t="s">
        <v>127</v>
      </c>
      <c r="C276" s="702"/>
      <c r="D276" s="702"/>
      <c r="E276" s="702"/>
      <c r="F276" s="702"/>
      <c r="G276" s="702"/>
      <c r="H276" s="702"/>
      <c r="I276" s="703"/>
      <c r="J276" s="685"/>
      <c r="K276" s="686"/>
      <c r="L276" s="686"/>
      <c r="M276" s="686"/>
      <c r="N276" s="686"/>
      <c r="O276" s="686"/>
      <c r="P276" s="686"/>
      <c r="Q276" s="686"/>
    </row>
    <row r="277" spans="1:17" x14ac:dyDescent="0.2">
      <c r="A277" s="618" t="s">
        <v>6</v>
      </c>
      <c r="B277" s="701" t="s">
        <v>128</v>
      </c>
      <c r="C277" s="702"/>
      <c r="D277" s="702"/>
      <c r="E277" s="702"/>
      <c r="F277" s="702"/>
      <c r="G277" s="702"/>
      <c r="H277" s="702"/>
      <c r="I277" s="703"/>
      <c r="J277" s="670"/>
    </row>
    <row r="278" spans="1:17" x14ac:dyDescent="0.2">
      <c r="A278" s="618" t="s">
        <v>8</v>
      </c>
      <c r="B278" s="701" t="s">
        <v>125</v>
      </c>
      <c r="C278" s="702"/>
      <c r="D278" s="702"/>
      <c r="E278" s="702"/>
      <c r="F278" s="702"/>
      <c r="G278" s="702"/>
      <c r="H278" s="702"/>
      <c r="I278" s="703"/>
      <c r="J278" s="670"/>
    </row>
    <row r="279" spans="1:17" ht="37.5" customHeight="1" x14ac:dyDescent="0.2">
      <c r="A279" s="504" t="s">
        <v>10</v>
      </c>
      <c r="B279" s="505" t="s">
        <v>11</v>
      </c>
      <c r="C279" s="506" t="s">
        <v>12</v>
      </c>
      <c r="D279" s="507" t="s">
        <v>13</v>
      </c>
      <c r="E279" s="508" t="s">
        <v>14</v>
      </c>
      <c r="F279" s="505" t="s">
        <v>15</v>
      </c>
      <c r="G279" s="509" t="s">
        <v>16</v>
      </c>
      <c r="H279" s="505" t="s">
        <v>17</v>
      </c>
      <c r="I279" s="510" t="s">
        <v>18</v>
      </c>
      <c r="J279" s="670"/>
    </row>
    <row r="280" spans="1:17" ht="19.5" customHeight="1" x14ac:dyDescent="0.2">
      <c r="A280" s="118" t="s">
        <v>291</v>
      </c>
      <c r="B280" s="505">
        <v>1</v>
      </c>
      <c r="C280" s="440">
        <v>10000000</v>
      </c>
      <c r="D280" s="521">
        <v>0</v>
      </c>
      <c r="E280" s="490">
        <f t="shared" ref="E280:E283" si="21">C280-D280</f>
        <v>10000000</v>
      </c>
      <c r="F280" s="491">
        <f t="shared" ref="F280:F284" si="22">E280/C280</f>
        <v>1</v>
      </c>
      <c r="G280" s="509"/>
      <c r="H280" s="505"/>
      <c r="I280" s="510"/>
      <c r="J280" s="670"/>
    </row>
    <row r="281" spans="1:17" ht="61.5" customHeight="1" x14ac:dyDescent="0.2">
      <c r="A281" s="168" t="s">
        <v>513</v>
      </c>
      <c r="B281" s="505">
        <v>1</v>
      </c>
      <c r="C281" s="441">
        <v>15000000</v>
      </c>
      <c r="D281" s="521">
        <v>0</v>
      </c>
      <c r="E281" s="490">
        <f t="shared" si="21"/>
        <v>15000000</v>
      </c>
      <c r="F281" s="491">
        <f t="shared" si="22"/>
        <v>1</v>
      </c>
      <c r="G281" s="509"/>
      <c r="H281" s="505"/>
      <c r="I281" s="510"/>
      <c r="J281" s="670"/>
    </row>
    <row r="282" spans="1:17" ht="45.75" customHeight="1" x14ac:dyDescent="0.2">
      <c r="A282" s="118" t="s">
        <v>517</v>
      </c>
      <c r="B282" s="423">
        <v>1</v>
      </c>
      <c r="C282" s="424">
        <v>5000000</v>
      </c>
      <c r="D282" s="521">
        <v>0</v>
      </c>
      <c r="E282" s="490">
        <f t="shared" si="21"/>
        <v>5000000</v>
      </c>
      <c r="F282" s="491">
        <f t="shared" si="22"/>
        <v>1</v>
      </c>
      <c r="G282" s="547"/>
      <c r="H282" s="546"/>
      <c r="I282" s="548" t="s">
        <v>685</v>
      </c>
      <c r="J282" s="670"/>
    </row>
    <row r="283" spans="1:17" ht="55.5" customHeight="1" x14ac:dyDescent="0.2">
      <c r="A283" s="118" t="s">
        <v>518</v>
      </c>
      <c r="B283" s="423">
        <v>4</v>
      </c>
      <c r="C283" s="619">
        <v>206417932</v>
      </c>
      <c r="D283" s="619">
        <v>164213244</v>
      </c>
      <c r="E283" s="490">
        <f t="shared" si="21"/>
        <v>42204688</v>
      </c>
      <c r="F283" s="491">
        <f t="shared" si="22"/>
        <v>0.20446231386525082</v>
      </c>
      <c r="G283" s="620" t="s">
        <v>595</v>
      </c>
      <c r="H283" s="546"/>
      <c r="I283" s="548"/>
      <c r="J283" s="680">
        <v>44204929</v>
      </c>
      <c r="K283" s="681">
        <f>E283-J283</f>
        <v>-2000241</v>
      </c>
      <c r="L283" s="680">
        <f>(J283/180)*135</f>
        <v>33153696.75</v>
      </c>
      <c r="M283" s="682">
        <f>E283-L283</f>
        <v>9050991.25</v>
      </c>
      <c r="N283" s="680">
        <f>(J283/180)*150</f>
        <v>36837440.833333336</v>
      </c>
      <c r="O283" s="682">
        <f>E283-N283</f>
        <v>5367247.1666666642</v>
      </c>
      <c r="P283" s="680">
        <f>(J283/180)*165</f>
        <v>40521184.916666664</v>
      </c>
      <c r="Q283" s="682">
        <f>E283-P283</f>
        <v>1683503.0833333358</v>
      </c>
    </row>
    <row r="284" spans="1:17" ht="15" customHeight="1" x14ac:dyDescent="0.2">
      <c r="A284" s="761" t="s">
        <v>129</v>
      </c>
      <c r="B284" s="762"/>
      <c r="C284" s="600">
        <f>SUM(C280:C283)</f>
        <v>236417932</v>
      </c>
      <c r="D284" s="600">
        <f>SUM(D280:D283)</f>
        <v>164213244</v>
      </c>
      <c r="E284" s="600">
        <f>SUM(E280:E283)</f>
        <v>72204688</v>
      </c>
      <c r="F284" s="601">
        <f t="shared" si="22"/>
        <v>0.3054112155925634</v>
      </c>
      <c r="G284" s="602"/>
      <c r="H284" s="603"/>
      <c r="I284" s="604"/>
      <c r="J284" s="670"/>
    </row>
    <row r="285" spans="1:17" ht="15" customHeight="1" x14ac:dyDescent="0.2">
      <c r="A285" s="704" t="s">
        <v>644</v>
      </c>
      <c r="B285" s="705"/>
      <c r="C285" s="705"/>
      <c r="D285" s="705"/>
      <c r="E285" s="705"/>
      <c r="F285" s="705"/>
      <c r="G285" s="705"/>
      <c r="H285" s="705"/>
      <c r="I285" s="706"/>
      <c r="J285" s="670"/>
    </row>
    <row r="286" spans="1:17" ht="15" customHeight="1" x14ac:dyDescent="0.2">
      <c r="A286" s="494" t="s">
        <v>25</v>
      </c>
      <c r="B286" s="698" t="s">
        <v>131</v>
      </c>
      <c r="C286" s="699"/>
      <c r="D286" s="699"/>
      <c r="E286" s="699"/>
      <c r="F286" s="699"/>
      <c r="G286" s="699"/>
      <c r="H286" s="699"/>
      <c r="I286" s="700"/>
      <c r="J286" s="670"/>
    </row>
    <row r="287" spans="1:17" ht="15" customHeight="1" x14ac:dyDescent="0.2">
      <c r="A287" s="494" t="s">
        <v>3</v>
      </c>
      <c r="B287" s="698" t="s">
        <v>27</v>
      </c>
      <c r="C287" s="699"/>
      <c r="D287" s="699"/>
      <c r="E287" s="699"/>
      <c r="F287" s="699"/>
      <c r="G287" s="699"/>
      <c r="H287" s="699"/>
      <c r="I287" s="700"/>
      <c r="J287" s="670"/>
    </row>
    <row r="288" spans="1:17" ht="15" customHeight="1" x14ac:dyDescent="0.2">
      <c r="A288" s="494" t="s">
        <v>5</v>
      </c>
      <c r="B288" s="691" t="s">
        <v>132</v>
      </c>
      <c r="C288" s="692"/>
      <c r="D288" s="692"/>
      <c r="E288" s="692"/>
      <c r="F288" s="692"/>
      <c r="G288" s="692"/>
      <c r="H288" s="692"/>
      <c r="I288" s="693"/>
      <c r="J288" s="670"/>
    </row>
    <row r="289" spans="1:17" ht="15" customHeight="1" x14ac:dyDescent="0.2">
      <c r="A289" s="494" t="s">
        <v>6</v>
      </c>
      <c r="B289" s="691" t="s">
        <v>133</v>
      </c>
      <c r="C289" s="692"/>
      <c r="D289" s="692"/>
      <c r="E289" s="692"/>
      <c r="F289" s="692"/>
      <c r="G289" s="692"/>
      <c r="H289" s="692"/>
      <c r="I289" s="693"/>
      <c r="J289" s="670"/>
    </row>
    <row r="290" spans="1:17" ht="15" customHeight="1" x14ac:dyDescent="0.2">
      <c r="A290" s="494" t="s">
        <v>8</v>
      </c>
      <c r="B290" s="691" t="s">
        <v>645</v>
      </c>
      <c r="C290" s="692"/>
      <c r="D290" s="692"/>
      <c r="E290" s="692"/>
      <c r="F290" s="692"/>
      <c r="G290" s="692"/>
      <c r="H290" s="692"/>
      <c r="I290" s="693"/>
      <c r="J290" s="670"/>
    </row>
    <row r="291" spans="1:17" s="526" customFormat="1" ht="36" x14ac:dyDescent="0.2">
      <c r="A291" s="504" t="s">
        <v>10</v>
      </c>
      <c r="B291" s="505" t="s">
        <v>11</v>
      </c>
      <c r="C291" s="506" t="s">
        <v>12</v>
      </c>
      <c r="D291" s="507" t="s">
        <v>13</v>
      </c>
      <c r="E291" s="508" t="s">
        <v>14</v>
      </c>
      <c r="F291" s="505" t="s">
        <v>15</v>
      </c>
      <c r="G291" s="509" t="s">
        <v>16</v>
      </c>
      <c r="H291" s="505" t="s">
        <v>17</v>
      </c>
      <c r="I291" s="510" t="s">
        <v>18</v>
      </c>
      <c r="J291" s="686"/>
      <c r="K291" s="686"/>
      <c r="L291" s="686"/>
      <c r="M291" s="686"/>
      <c r="N291" s="686"/>
      <c r="O291" s="686"/>
      <c r="P291" s="686"/>
      <c r="Q291" s="686"/>
    </row>
    <row r="292" spans="1:17" s="526" customFormat="1" ht="326.25" customHeight="1" x14ac:dyDescent="0.2">
      <c r="A292" s="621" t="s">
        <v>689</v>
      </c>
      <c r="B292" s="482" t="s">
        <v>646</v>
      </c>
      <c r="C292" s="622">
        <v>331542180</v>
      </c>
      <c r="D292" s="521">
        <v>0</v>
      </c>
      <c r="E292" s="490">
        <f t="shared" ref="E292" si="23">C292-D292</f>
        <v>331542180</v>
      </c>
      <c r="F292" s="491">
        <f t="shared" ref="F292" si="24">E292/C292</f>
        <v>1</v>
      </c>
      <c r="G292" s="561"/>
      <c r="H292" s="413"/>
      <c r="I292" s="114"/>
      <c r="J292" s="686"/>
      <c r="K292" s="686"/>
      <c r="L292" s="686"/>
      <c r="M292" s="686"/>
      <c r="N292" s="686"/>
      <c r="O292" s="686"/>
      <c r="P292" s="686"/>
      <c r="Q292" s="686"/>
    </row>
    <row r="293" spans="1:17" s="526" customFormat="1" ht="31.5" customHeight="1" x14ac:dyDescent="0.2">
      <c r="A293" s="772" t="s">
        <v>135</v>
      </c>
      <c r="B293" s="773"/>
      <c r="C293" s="773"/>
      <c r="D293" s="773"/>
      <c r="E293" s="773"/>
      <c r="F293" s="773"/>
      <c r="G293" s="773"/>
      <c r="H293" s="773"/>
      <c r="I293" s="774"/>
      <c r="J293" s="686"/>
      <c r="K293" s="686"/>
      <c r="L293" s="686"/>
      <c r="M293" s="686"/>
      <c r="N293" s="686"/>
      <c r="O293" s="686"/>
      <c r="P293" s="686"/>
      <c r="Q293" s="686"/>
    </row>
    <row r="294" spans="1:17" s="526" customFormat="1" ht="54" customHeight="1" x14ac:dyDescent="0.2">
      <c r="A294" s="586" t="s">
        <v>136</v>
      </c>
      <c r="B294" s="623">
        <v>300</v>
      </c>
      <c r="C294" s="424">
        <v>24990000</v>
      </c>
      <c r="D294" s="521">
        <v>0</v>
      </c>
      <c r="E294" s="490">
        <f t="shared" ref="E294:E300" si="25">C294-D294</f>
        <v>24990000</v>
      </c>
      <c r="F294" s="491">
        <f t="shared" ref="F294:F300" si="26">E294/C294</f>
        <v>1</v>
      </c>
      <c r="G294" s="561"/>
      <c r="H294" s="413"/>
      <c r="I294" s="114"/>
      <c r="J294" s="686"/>
      <c r="K294" s="686"/>
      <c r="L294" s="686"/>
      <c r="M294" s="686"/>
      <c r="N294" s="686"/>
      <c r="O294" s="686"/>
      <c r="P294" s="686"/>
      <c r="Q294" s="686"/>
    </row>
    <row r="295" spans="1:17" s="526" customFormat="1" ht="39.75" customHeight="1" x14ac:dyDescent="0.2">
      <c r="A295" s="624" t="s">
        <v>519</v>
      </c>
      <c r="B295" s="623">
        <v>100</v>
      </c>
      <c r="C295" s="622">
        <v>19992000</v>
      </c>
      <c r="D295" s="521">
        <v>0</v>
      </c>
      <c r="E295" s="490">
        <f t="shared" si="25"/>
        <v>19992000</v>
      </c>
      <c r="F295" s="491">
        <f t="shared" si="26"/>
        <v>1</v>
      </c>
      <c r="G295" s="561"/>
      <c r="H295" s="413"/>
      <c r="I295" s="114"/>
      <c r="J295" s="686"/>
      <c r="K295" s="686"/>
      <c r="L295" s="686"/>
      <c r="M295" s="686"/>
      <c r="N295" s="686"/>
      <c r="O295" s="686"/>
      <c r="P295" s="686"/>
      <c r="Q295" s="686"/>
    </row>
    <row r="296" spans="1:17" s="526" customFormat="1" ht="91.5" customHeight="1" x14ac:dyDescent="0.2">
      <c r="A296" s="586" t="s">
        <v>522</v>
      </c>
      <c r="B296" s="623">
        <v>1</v>
      </c>
      <c r="C296" s="622">
        <v>2966666</v>
      </c>
      <c r="D296" s="521">
        <v>0</v>
      </c>
      <c r="E296" s="490">
        <f t="shared" si="25"/>
        <v>2966666</v>
      </c>
      <c r="F296" s="491">
        <f t="shared" si="26"/>
        <v>1</v>
      </c>
      <c r="G296" s="561"/>
      <c r="H296" s="413"/>
      <c r="I296" s="114"/>
      <c r="J296" s="686"/>
      <c r="K296" s="686"/>
      <c r="L296" s="686"/>
      <c r="M296" s="686"/>
      <c r="N296" s="686"/>
      <c r="O296" s="686"/>
      <c r="P296" s="686"/>
      <c r="Q296" s="686"/>
    </row>
    <row r="297" spans="1:17" s="526" customFormat="1" ht="84.75" customHeight="1" x14ac:dyDescent="0.2">
      <c r="A297" s="586" t="s">
        <v>524</v>
      </c>
      <c r="B297" s="623">
        <v>1</v>
      </c>
      <c r="C297" s="622">
        <v>2983737</v>
      </c>
      <c r="D297" s="521">
        <v>0</v>
      </c>
      <c r="E297" s="490">
        <f t="shared" si="25"/>
        <v>2983737</v>
      </c>
      <c r="F297" s="491">
        <f t="shared" si="26"/>
        <v>1</v>
      </c>
      <c r="G297" s="561"/>
      <c r="H297" s="413"/>
      <c r="I297" s="114"/>
      <c r="J297" s="686"/>
      <c r="K297" s="686"/>
      <c r="L297" s="686"/>
      <c r="M297" s="686"/>
      <c r="N297" s="686"/>
      <c r="O297" s="686"/>
      <c r="P297" s="686"/>
      <c r="Q297" s="686"/>
    </row>
    <row r="298" spans="1:17" ht="69.75" customHeight="1" x14ac:dyDescent="0.2">
      <c r="A298" s="586" t="s">
        <v>525</v>
      </c>
      <c r="B298" s="623">
        <v>2</v>
      </c>
      <c r="C298" s="622">
        <v>1666000</v>
      </c>
      <c r="D298" s="521">
        <v>0</v>
      </c>
      <c r="E298" s="490">
        <f t="shared" si="25"/>
        <v>1666000</v>
      </c>
      <c r="F298" s="491">
        <f t="shared" si="26"/>
        <v>1</v>
      </c>
      <c r="G298" s="561"/>
      <c r="H298" s="413"/>
      <c r="I298" s="114"/>
      <c r="J298" s="670"/>
    </row>
    <row r="299" spans="1:17" ht="99" customHeight="1" x14ac:dyDescent="0.2">
      <c r="A299" s="586" t="s">
        <v>530</v>
      </c>
      <c r="B299" s="623">
        <v>4</v>
      </c>
      <c r="C299" s="622">
        <v>2514000</v>
      </c>
      <c r="D299" s="521">
        <v>0</v>
      </c>
      <c r="E299" s="490">
        <f t="shared" si="25"/>
        <v>2514000</v>
      </c>
      <c r="F299" s="491">
        <f t="shared" si="26"/>
        <v>1</v>
      </c>
      <c r="G299" s="561"/>
      <c r="H299" s="413"/>
      <c r="I299" s="114"/>
      <c r="J299" s="670"/>
    </row>
    <row r="300" spans="1:17" ht="57.75" customHeight="1" x14ac:dyDescent="0.2">
      <c r="A300" s="586" t="s">
        <v>299</v>
      </c>
      <c r="B300" s="623">
        <v>4</v>
      </c>
      <c r="C300" s="622">
        <v>6745649</v>
      </c>
      <c r="D300" s="521">
        <v>0</v>
      </c>
      <c r="E300" s="490">
        <f t="shared" si="25"/>
        <v>6745649</v>
      </c>
      <c r="F300" s="491">
        <f t="shared" si="26"/>
        <v>1</v>
      </c>
      <c r="G300" s="561"/>
      <c r="H300" s="413"/>
      <c r="I300" s="114"/>
      <c r="J300" s="670"/>
    </row>
    <row r="301" spans="1:17" ht="25.5" customHeight="1" x14ac:dyDescent="0.2">
      <c r="A301" s="625" t="s">
        <v>137</v>
      </c>
      <c r="B301" s="626"/>
      <c r="C301" s="626"/>
      <c r="D301" s="626"/>
      <c r="E301" s="626"/>
      <c r="F301" s="626"/>
      <c r="G301" s="626"/>
      <c r="H301" s="626"/>
      <c r="I301" s="627"/>
      <c r="J301" s="670"/>
    </row>
    <row r="302" spans="1:17" ht="107.25" customHeight="1" x14ac:dyDescent="0.2">
      <c r="A302" s="142" t="s">
        <v>532</v>
      </c>
      <c r="B302" s="628">
        <v>1</v>
      </c>
      <c r="C302" s="629">
        <v>20000000</v>
      </c>
      <c r="D302" s="521">
        <v>0</v>
      </c>
      <c r="E302" s="490">
        <f t="shared" ref="E302:E309" si="27">C302-D302</f>
        <v>20000000</v>
      </c>
      <c r="F302" s="491">
        <f t="shared" ref="F302:F309" si="28">E302/C302</f>
        <v>1</v>
      </c>
      <c r="G302" s="561"/>
      <c r="H302" s="413"/>
      <c r="I302" s="114"/>
      <c r="J302" s="670"/>
    </row>
    <row r="303" spans="1:17" ht="108" customHeight="1" x14ac:dyDescent="0.2">
      <c r="A303" s="630" t="s">
        <v>533</v>
      </c>
      <c r="B303" s="628">
        <v>1</v>
      </c>
      <c r="C303" s="629">
        <v>3000000</v>
      </c>
      <c r="D303" s="521">
        <v>0</v>
      </c>
      <c r="E303" s="490">
        <f t="shared" si="27"/>
        <v>3000000</v>
      </c>
      <c r="F303" s="491">
        <f t="shared" si="28"/>
        <v>1</v>
      </c>
      <c r="G303" s="561"/>
      <c r="H303" s="413"/>
      <c r="I303" s="114"/>
      <c r="J303" s="670"/>
    </row>
    <row r="304" spans="1:17" ht="92.25" customHeight="1" x14ac:dyDescent="0.2">
      <c r="A304" s="631" t="s">
        <v>534</v>
      </c>
      <c r="B304" s="628">
        <v>1</v>
      </c>
      <c r="C304" s="629">
        <v>3000000</v>
      </c>
      <c r="D304" s="521">
        <v>0</v>
      </c>
      <c r="E304" s="490">
        <f t="shared" si="27"/>
        <v>3000000</v>
      </c>
      <c r="F304" s="491">
        <f t="shared" si="28"/>
        <v>1</v>
      </c>
      <c r="G304" s="561"/>
      <c r="H304" s="413"/>
      <c r="I304" s="114"/>
      <c r="J304" s="670"/>
    </row>
    <row r="305" spans="1:17" ht="128.25" customHeight="1" x14ac:dyDescent="0.2">
      <c r="A305" s="631" t="s">
        <v>535</v>
      </c>
      <c r="B305" s="628">
        <v>1</v>
      </c>
      <c r="C305" s="629">
        <v>3000000</v>
      </c>
      <c r="D305" s="521">
        <v>0</v>
      </c>
      <c r="E305" s="490">
        <f t="shared" si="27"/>
        <v>3000000</v>
      </c>
      <c r="F305" s="491">
        <f t="shared" si="28"/>
        <v>1</v>
      </c>
      <c r="G305" s="561"/>
      <c r="H305" s="413"/>
      <c r="I305" s="114"/>
      <c r="J305" s="670"/>
    </row>
    <row r="306" spans="1:17" ht="91.5" customHeight="1" x14ac:dyDescent="0.2">
      <c r="A306" s="631" t="s">
        <v>536</v>
      </c>
      <c r="B306" s="628">
        <v>10</v>
      </c>
      <c r="C306" s="629">
        <v>17354166</v>
      </c>
      <c r="D306" s="521">
        <v>0</v>
      </c>
      <c r="E306" s="490">
        <f t="shared" si="27"/>
        <v>17354166</v>
      </c>
      <c r="F306" s="491">
        <f t="shared" si="28"/>
        <v>1</v>
      </c>
      <c r="G306" s="561"/>
      <c r="H306" s="413"/>
      <c r="I306" s="114"/>
      <c r="J306" s="670"/>
    </row>
    <row r="307" spans="1:17" ht="55.5" customHeight="1" x14ac:dyDescent="0.2">
      <c r="A307" s="631" t="s">
        <v>537</v>
      </c>
      <c r="B307" s="628">
        <v>5</v>
      </c>
      <c r="C307" s="629">
        <v>2915014</v>
      </c>
      <c r="D307" s="521">
        <v>0</v>
      </c>
      <c r="E307" s="490">
        <f t="shared" si="27"/>
        <v>2915014</v>
      </c>
      <c r="F307" s="491">
        <f t="shared" si="28"/>
        <v>1</v>
      </c>
      <c r="G307" s="561"/>
      <c r="H307" s="413"/>
      <c r="I307" s="114"/>
      <c r="J307" s="670"/>
    </row>
    <row r="308" spans="1:17" ht="36.75" customHeight="1" x14ac:dyDescent="0.2">
      <c r="A308" s="631" t="s">
        <v>538</v>
      </c>
      <c r="B308" s="628">
        <v>2</v>
      </c>
      <c r="C308" s="629">
        <v>1263384</v>
      </c>
      <c r="D308" s="521">
        <v>0</v>
      </c>
      <c r="E308" s="490">
        <f t="shared" si="27"/>
        <v>1263384</v>
      </c>
      <c r="F308" s="491">
        <f t="shared" si="28"/>
        <v>1</v>
      </c>
      <c r="G308" s="561"/>
      <c r="H308" s="413"/>
      <c r="I308" s="114"/>
      <c r="J308" s="670"/>
    </row>
    <row r="309" spans="1:17" ht="48" customHeight="1" x14ac:dyDescent="0.2">
      <c r="A309" s="631" t="s">
        <v>539</v>
      </c>
      <c r="B309" s="628">
        <v>1</v>
      </c>
      <c r="C309" s="629">
        <v>1786785</v>
      </c>
      <c r="D309" s="521">
        <v>0</v>
      </c>
      <c r="E309" s="490">
        <f t="shared" si="27"/>
        <v>1786785</v>
      </c>
      <c r="F309" s="491">
        <f t="shared" si="28"/>
        <v>1</v>
      </c>
      <c r="G309" s="561"/>
      <c r="H309" s="413"/>
      <c r="I309" s="114"/>
      <c r="J309" s="670"/>
    </row>
    <row r="310" spans="1:17" ht="39" customHeight="1" x14ac:dyDescent="0.2">
      <c r="A310" s="631" t="s">
        <v>546</v>
      </c>
      <c r="B310" s="628">
        <v>2</v>
      </c>
      <c r="C310" s="629">
        <v>800000</v>
      </c>
      <c r="D310" s="521">
        <v>0</v>
      </c>
      <c r="E310" s="490">
        <f>C311-D310</f>
        <v>7080500</v>
      </c>
      <c r="F310" s="491">
        <f>E310/C311</f>
        <v>1</v>
      </c>
      <c r="G310" s="632"/>
      <c r="H310" s="413"/>
      <c r="I310" s="114"/>
      <c r="J310" s="670"/>
    </row>
    <row r="311" spans="1:17" ht="102.75" customHeight="1" x14ac:dyDescent="0.2">
      <c r="A311" s="142" t="s">
        <v>547</v>
      </c>
      <c r="B311" s="628">
        <v>2</v>
      </c>
      <c r="C311" s="629">
        <v>7080500</v>
      </c>
      <c r="D311" s="521">
        <v>0</v>
      </c>
      <c r="E311" s="490">
        <f>C314-D311</f>
        <v>9142175</v>
      </c>
      <c r="F311" s="491">
        <f>E311/C314</f>
        <v>1</v>
      </c>
      <c r="G311" s="632"/>
      <c r="H311" s="413"/>
      <c r="I311" s="114"/>
      <c r="J311" s="670"/>
    </row>
    <row r="312" spans="1:17" s="526" customFormat="1" ht="18.75" customHeight="1" x14ac:dyDescent="0.2">
      <c r="A312" s="631" t="s">
        <v>544</v>
      </c>
      <c r="B312" s="628">
        <v>20</v>
      </c>
      <c r="C312" s="629">
        <v>1500000</v>
      </c>
      <c r="D312" s="521">
        <v>0</v>
      </c>
      <c r="E312" s="490">
        <f>C313-D312</f>
        <v>2500000</v>
      </c>
      <c r="F312" s="491">
        <f>E312/C313</f>
        <v>1</v>
      </c>
      <c r="G312" s="632"/>
      <c r="H312" s="413"/>
      <c r="I312" s="114"/>
      <c r="J312" s="685"/>
      <c r="K312" s="686"/>
      <c r="L312" s="686"/>
      <c r="M312" s="686"/>
      <c r="N312" s="686"/>
      <c r="O312" s="686"/>
      <c r="P312" s="686"/>
      <c r="Q312" s="686"/>
    </row>
    <row r="313" spans="1:17" s="526" customFormat="1" ht="37.5" customHeight="1" x14ac:dyDescent="0.2">
      <c r="A313" s="631" t="s">
        <v>545</v>
      </c>
      <c r="B313" s="628">
        <v>20</v>
      </c>
      <c r="C313" s="629">
        <v>2500000</v>
      </c>
      <c r="D313" s="521">
        <v>0</v>
      </c>
      <c r="E313" s="490">
        <f>C314-D313</f>
        <v>9142175</v>
      </c>
      <c r="F313" s="491">
        <f>E313/C314</f>
        <v>1</v>
      </c>
      <c r="G313" s="632"/>
      <c r="H313" s="413"/>
      <c r="I313" s="114"/>
      <c r="J313" s="685"/>
      <c r="K313" s="686"/>
      <c r="L313" s="686"/>
      <c r="M313" s="686"/>
      <c r="N313" s="686"/>
      <c r="O313" s="686"/>
      <c r="P313" s="686"/>
      <c r="Q313" s="686"/>
    </row>
    <row r="314" spans="1:17" s="526" customFormat="1" ht="62.25" customHeight="1" x14ac:dyDescent="0.2">
      <c r="A314" s="142" t="s">
        <v>548</v>
      </c>
      <c r="B314" s="628">
        <v>100</v>
      </c>
      <c r="C314" s="629">
        <v>9142175</v>
      </c>
      <c r="D314" s="521">
        <v>0</v>
      </c>
      <c r="E314" s="490">
        <f>C315-D314</f>
        <v>22343206</v>
      </c>
      <c r="F314" s="491">
        <f>E314/C315</f>
        <v>1</v>
      </c>
      <c r="G314" s="632"/>
      <c r="H314" s="413"/>
      <c r="I314" s="114"/>
      <c r="J314" s="685"/>
      <c r="K314" s="686"/>
      <c r="L314" s="686"/>
      <c r="M314" s="686"/>
      <c r="N314" s="686"/>
      <c r="O314" s="686"/>
      <c r="P314" s="686"/>
      <c r="Q314" s="686"/>
    </row>
    <row r="315" spans="1:17" s="526" customFormat="1" ht="84" customHeight="1" x14ac:dyDescent="0.2">
      <c r="A315" s="142" t="s">
        <v>549</v>
      </c>
      <c r="B315" s="628">
        <v>1</v>
      </c>
      <c r="C315" s="629">
        <v>22343206</v>
      </c>
      <c r="D315" s="521">
        <v>0</v>
      </c>
      <c r="E315" s="490">
        <f t="shared" ref="E315" si="29">C315-D315</f>
        <v>22343206</v>
      </c>
      <c r="F315" s="491">
        <f t="shared" ref="F315" si="30">E315/C315</f>
        <v>1</v>
      </c>
      <c r="G315" s="632"/>
      <c r="H315" s="523"/>
      <c r="I315" s="114"/>
      <c r="J315" s="685"/>
      <c r="K315" s="686"/>
      <c r="L315" s="686"/>
      <c r="M315" s="686"/>
      <c r="N315" s="686"/>
      <c r="O315" s="686"/>
      <c r="P315" s="686"/>
      <c r="Q315" s="686"/>
    </row>
    <row r="316" spans="1:17" s="526" customFormat="1" ht="26.25" customHeight="1" x14ac:dyDescent="0.2">
      <c r="A316" s="625"/>
      <c r="B316" s="626"/>
      <c r="C316" s="626"/>
      <c r="D316" s="626"/>
      <c r="E316" s="626"/>
      <c r="F316" s="626"/>
      <c r="G316" s="626"/>
      <c r="H316" s="626"/>
      <c r="I316" s="627"/>
      <c r="J316" s="685"/>
      <c r="K316" s="686"/>
      <c r="L316" s="686"/>
      <c r="M316" s="686"/>
      <c r="N316" s="686"/>
      <c r="O316" s="686"/>
      <c r="P316" s="686"/>
      <c r="Q316" s="686"/>
    </row>
    <row r="317" spans="1:17" ht="63" customHeight="1" x14ac:dyDescent="0.2">
      <c r="A317" s="579" t="s">
        <v>551</v>
      </c>
      <c r="B317" s="628">
        <v>1</v>
      </c>
      <c r="C317" s="633">
        <v>20000000</v>
      </c>
      <c r="D317" s="521">
        <v>0</v>
      </c>
      <c r="E317" s="490">
        <f t="shared" ref="E317:E323" si="31">C317-D317</f>
        <v>20000000</v>
      </c>
      <c r="F317" s="491">
        <f t="shared" ref="F317:F323" si="32">E317/C317</f>
        <v>1</v>
      </c>
      <c r="G317" s="634"/>
      <c r="H317" s="523"/>
      <c r="I317" s="114"/>
      <c r="J317" s="670"/>
    </row>
    <row r="318" spans="1:17" ht="31.5" customHeight="1" x14ac:dyDescent="0.2">
      <c r="A318" s="579" t="s">
        <v>696</v>
      </c>
      <c r="B318" s="628">
        <v>1</v>
      </c>
      <c r="C318" s="633">
        <v>3000000</v>
      </c>
      <c r="D318" s="521">
        <v>0</v>
      </c>
      <c r="E318" s="490">
        <f t="shared" si="31"/>
        <v>3000000</v>
      </c>
      <c r="F318" s="491">
        <f t="shared" si="32"/>
        <v>1</v>
      </c>
      <c r="G318" s="634"/>
      <c r="H318" s="523"/>
      <c r="I318" s="114"/>
      <c r="J318" s="670"/>
    </row>
    <row r="319" spans="1:17" ht="52.5" customHeight="1" x14ac:dyDescent="0.2">
      <c r="A319" s="579" t="s">
        <v>553</v>
      </c>
      <c r="B319" s="628">
        <v>1</v>
      </c>
      <c r="C319" s="633">
        <v>35890000</v>
      </c>
      <c r="D319" s="521">
        <v>0</v>
      </c>
      <c r="E319" s="490">
        <f t="shared" si="31"/>
        <v>35890000</v>
      </c>
      <c r="F319" s="491">
        <f t="shared" si="32"/>
        <v>1</v>
      </c>
      <c r="G319" s="635"/>
      <c r="H319" s="523"/>
      <c r="I319" s="114"/>
      <c r="J319" s="670"/>
    </row>
    <row r="320" spans="1:17" ht="46.5" customHeight="1" x14ac:dyDescent="0.2">
      <c r="A320" s="579" t="s">
        <v>554</v>
      </c>
      <c r="B320" s="628">
        <v>11</v>
      </c>
      <c r="C320" s="633">
        <v>2450000</v>
      </c>
      <c r="D320" s="521">
        <v>0</v>
      </c>
      <c r="E320" s="490">
        <f t="shared" si="31"/>
        <v>2450000</v>
      </c>
      <c r="F320" s="491">
        <f t="shared" si="32"/>
        <v>1</v>
      </c>
      <c r="G320" s="419"/>
      <c r="H320" s="523"/>
      <c r="I320" s="114"/>
      <c r="J320" s="670"/>
    </row>
    <row r="321" spans="1:17" ht="84.75" customHeight="1" x14ac:dyDescent="0.2">
      <c r="A321" s="579" t="s">
        <v>555</v>
      </c>
      <c r="B321" s="628">
        <v>1</v>
      </c>
      <c r="C321" s="633">
        <v>230000000</v>
      </c>
      <c r="D321" s="521">
        <v>230000000</v>
      </c>
      <c r="E321" s="490">
        <f t="shared" si="31"/>
        <v>0</v>
      </c>
      <c r="F321" s="491">
        <f t="shared" si="32"/>
        <v>0</v>
      </c>
      <c r="G321" s="636"/>
      <c r="H321" s="523"/>
      <c r="I321" s="114"/>
      <c r="J321" s="670"/>
    </row>
    <row r="322" spans="1:17" ht="39" customHeight="1" x14ac:dyDescent="0.2">
      <c r="A322" s="579" t="s">
        <v>618</v>
      </c>
      <c r="B322" s="628">
        <v>1</v>
      </c>
      <c r="C322" s="633">
        <v>55211793</v>
      </c>
      <c r="D322" s="424">
        <v>25115673</v>
      </c>
      <c r="E322" s="490">
        <f t="shared" si="31"/>
        <v>30096120</v>
      </c>
      <c r="F322" s="491">
        <f t="shared" si="32"/>
        <v>0.54510310867824918</v>
      </c>
      <c r="G322" s="637" t="s">
        <v>620</v>
      </c>
      <c r="H322" s="413"/>
      <c r="I322" s="114"/>
      <c r="J322" s="680">
        <v>30096120</v>
      </c>
      <c r="K322" s="681">
        <f>E322-J322</f>
        <v>0</v>
      </c>
      <c r="L322" s="680">
        <f>(J322/180)*135</f>
        <v>22572090</v>
      </c>
      <c r="M322" s="682">
        <f>E322-L322</f>
        <v>7524030</v>
      </c>
      <c r="N322" s="680">
        <f>(J322/180)*150</f>
        <v>25080100</v>
      </c>
      <c r="O322" s="682">
        <f>E322-N322</f>
        <v>5016020</v>
      </c>
      <c r="P322" s="680">
        <f>(J322/180)*165</f>
        <v>27588110</v>
      </c>
      <c r="Q322" s="682">
        <f>E322-P322</f>
        <v>2508010</v>
      </c>
    </row>
    <row r="323" spans="1:17" ht="82.5" customHeight="1" x14ac:dyDescent="0.2">
      <c r="A323" s="579" t="s">
        <v>272</v>
      </c>
      <c r="B323" s="628">
        <v>5</v>
      </c>
      <c r="C323" s="633">
        <v>201446688</v>
      </c>
      <c r="D323" s="424">
        <v>113161416</v>
      </c>
      <c r="E323" s="490">
        <f t="shared" si="31"/>
        <v>88285272</v>
      </c>
      <c r="F323" s="491">
        <f t="shared" si="32"/>
        <v>0.43825625964126053</v>
      </c>
      <c r="G323" s="638" t="s">
        <v>619</v>
      </c>
      <c r="H323" s="526"/>
      <c r="I323" s="114"/>
      <c r="J323" s="680">
        <v>88285272</v>
      </c>
      <c r="K323" s="681">
        <f>E323-J323</f>
        <v>0</v>
      </c>
      <c r="L323" s="680">
        <f>(J323/180)*135</f>
        <v>66213954</v>
      </c>
      <c r="M323" s="682">
        <f>E323-L323</f>
        <v>22071318</v>
      </c>
      <c r="N323" s="680">
        <f>(J323/180)*150</f>
        <v>73571060</v>
      </c>
      <c r="O323" s="682">
        <f>E323-N323</f>
        <v>14714212</v>
      </c>
      <c r="P323" s="680">
        <f>(J323/180)*165</f>
        <v>80928166</v>
      </c>
      <c r="Q323" s="682">
        <f>E323-P323</f>
        <v>7357106</v>
      </c>
    </row>
    <row r="324" spans="1:17" ht="12.75" customHeight="1" x14ac:dyDescent="0.2">
      <c r="A324" s="761"/>
      <c r="B324" s="762"/>
      <c r="C324" s="600"/>
      <c r="D324" s="600"/>
      <c r="E324" s="600"/>
      <c r="F324" s="601"/>
      <c r="G324" s="602"/>
      <c r="H324" s="603"/>
      <c r="I324" s="604"/>
      <c r="J324" s="670"/>
    </row>
    <row r="325" spans="1:17" ht="12.75" customHeight="1" x14ac:dyDescent="0.2">
      <c r="A325" s="704" t="s">
        <v>35</v>
      </c>
      <c r="B325" s="705"/>
      <c r="C325" s="705"/>
      <c r="D325" s="705"/>
      <c r="E325" s="705"/>
      <c r="F325" s="705"/>
      <c r="G325" s="705"/>
      <c r="H325" s="705"/>
      <c r="I325" s="706"/>
      <c r="J325" s="670"/>
    </row>
    <row r="326" spans="1:17" ht="12.75" customHeight="1" x14ac:dyDescent="0.2">
      <c r="A326" s="494" t="s">
        <v>1</v>
      </c>
      <c r="B326" s="691" t="s">
        <v>2</v>
      </c>
      <c r="C326" s="692"/>
      <c r="D326" s="692"/>
      <c r="E326" s="692"/>
      <c r="F326" s="692"/>
      <c r="G326" s="692"/>
      <c r="H326" s="692"/>
      <c r="I326" s="693"/>
      <c r="J326" s="670"/>
    </row>
    <row r="327" spans="1:17" ht="12.75" customHeight="1" x14ac:dyDescent="0.2">
      <c r="A327" s="494" t="s">
        <v>3</v>
      </c>
      <c r="B327" s="698" t="s">
        <v>36</v>
      </c>
      <c r="C327" s="699"/>
      <c r="D327" s="699"/>
      <c r="E327" s="699"/>
      <c r="F327" s="699"/>
      <c r="G327" s="699"/>
      <c r="H327" s="699"/>
      <c r="I327" s="700"/>
      <c r="J327" s="670"/>
    </row>
    <row r="328" spans="1:17" x14ac:dyDescent="0.2">
      <c r="A328" s="494" t="s">
        <v>5</v>
      </c>
      <c r="B328" s="691" t="s">
        <v>324</v>
      </c>
      <c r="C328" s="692"/>
      <c r="D328" s="692"/>
      <c r="E328" s="692"/>
      <c r="F328" s="692"/>
      <c r="G328" s="692"/>
      <c r="H328" s="692"/>
      <c r="I328" s="693"/>
      <c r="J328" s="670"/>
    </row>
    <row r="329" spans="1:17" x14ac:dyDescent="0.2">
      <c r="A329" s="494" t="s">
        <v>6</v>
      </c>
      <c r="B329" s="691" t="s">
        <v>37</v>
      </c>
      <c r="C329" s="692"/>
      <c r="D329" s="692"/>
      <c r="E329" s="692"/>
      <c r="F329" s="692"/>
      <c r="G329" s="692"/>
      <c r="H329" s="692"/>
      <c r="I329" s="693"/>
      <c r="J329" s="670"/>
    </row>
    <row r="330" spans="1:17" ht="12.75" customHeight="1" x14ac:dyDescent="0.2">
      <c r="A330" s="494" t="s">
        <v>8</v>
      </c>
      <c r="B330" s="691" t="s">
        <v>38</v>
      </c>
      <c r="C330" s="692"/>
      <c r="D330" s="692"/>
      <c r="E330" s="692"/>
      <c r="F330" s="692"/>
      <c r="G330" s="692"/>
      <c r="H330" s="692"/>
      <c r="I330" s="693"/>
      <c r="J330" s="670"/>
    </row>
    <row r="331" spans="1:17" ht="36" x14ac:dyDescent="0.2">
      <c r="A331" s="504" t="s">
        <v>10</v>
      </c>
      <c r="B331" s="505" t="s">
        <v>11</v>
      </c>
      <c r="C331" s="506" t="s">
        <v>12</v>
      </c>
      <c r="D331" s="507" t="s">
        <v>13</v>
      </c>
      <c r="E331" s="508" t="s">
        <v>14</v>
      </c>
      <c r="F331" s="505" t="s">
        <v>15</v>
      </c>
      <c r="G331" s="509" t="s">
        <v>16</v>
      </c>
      <c r="H331" s="505" t="s">
        <v>17</v>
      </c>
      <c r="I331" s="510" t="s">
        <v>18</v>
      </c>
      <c r="J331" s="670"/>
    </row>
    <row r="332" spans="1:17" ht="50.25" customHeight="1" x14ac:dyDescent="0.2">
      <c r="A332" s="579" t="s">
        <v>272</v>
      </c>
      <c r="B332" s="482">
        <v>2</v>
      </c>
      <c r="C332" s="424">
        <v>128080585</v>
      </c>
      <c r="D332" s="511">
        <v>84400585</v>
      </c>
      <c r="E332" s="490">
        <f>C332-D332</f>
        <v>43680000</v>
      </c>
      <c r="F332" s="491">
        <f>E332/C332</f>
        <v>0.34103529430319202</v>
      </c>
      <c r="G332" s="512" t="s">
        <v>622</v>
      </c>
      <c r="H332" s="505"/>
      <c r="I332" s="510"/>
      <c r="J332" s="680">
        <v>0</v>
      </c>
      <c r="K332" s="681">
        <f>E332-J332</f>
        <v>43680000</v>
      </c>
      <c r="L332" s="680">
        <f>(J332/180)*135</f>
        <v>0</v>
      </c>
      <c r="M332" s="682">
        <f>E332-L332</f>
        <v>43680000</v>
      </c>
      <c r="N332" s="680">
        <f>(J332/180)*150</f>
        <v>0</v>
      </c>
      <c r="O332" s="682">
        <f>E332-N332</f>
        <v>43680000</v>
      </c>
      <c r="P332" s="680">
        <f>(J332/180)*165</f>
        <v>0</v>
      </c>
      <c r="Q332" s="682">
        <f>E332-P332</f>
        <v>43680000</v>
      </c>
    </row>
    <row r="333" spans="1:17" x14ac:dyDescent="0.2">
      <c r="A333" s="761" t="s">
        <v>39</v>
      </c>
      <c r="B333" s="762"/>
      <c r="C333" s="600">
        <f>C332</f>
        <v>128080585</v>
      </c>
      <c r="D333" s="639">
        <f>D332</f>
        <v>84400585</v>
      </c>
      <c r="E333" s="639">
        <f>E332</f>
        <v>43680000</v>
      </c>
      <c r="F333" s="601">
        <f>E333/C333</f>
        <v>0.34103529430319202</v>
      </c>
      <c r="G333" s="602"/>
      <c r="H333" s="603"/>
      <c r="I333" s="604"/>
      <c r="J333" s="670"/>
    </row>
    <row r="334" spans="1:17" x14ac:dyDescent="0.2">
      <c r="A334" s="704" t="s">
        <v>40</v>
      </c>
      <c r="B334" s="705"/>
      <c r="C334" s="705"/>
      <c r="D334" s="705"/>
      <c r="E334" s="705"/>
      <c r="F334" s="705"/>
      <c r="G334" s="705"/>
      <c r="H334" s="705"/>
      <c r="I334" s="706"/>
      <c r="J334" s="670"/>
    </row>
    <row r="335" spans="1:17" ht="12.75" customHeight="1" x14ac:dyDescent="0.2">
      <c r="A335" s="494" t="s">
        <v>1</v>
      </c>
      <c r="B335" s="691" t="s">
        <v>2</v>
      </c>
      <c r="C335" s="692"/>
      <c r="D335" s="692"/>
      <c r="E335" s="692"/>
      <c r="F335" s="692"/>
      <c r="G335" s="692"/>
      <c r="H335" s="692"/>
      <c r="I335" s="693"/>
      <c r="J335" s="670"/>
    </row>
    <row r="336" spans="1:17" ht="12.75" customHeight="1" x14ac:dyDescent="0.2">
      <c r="A336" s="494" t="s">
        <v>3</v>
      </c>
      <c r="B336" s="698" t="s">
        <v>36</v>
      </c>
      <c r="C336" s="699"/>
      <c r="D336" s="699"/>
      <c r="E336" s="699"/>
      <c r="F336" s="699"/>
      <c r="G336" s="699"/>
      <c r="H336" s="699"/>
      <c r="I336" s="700"/>
      <c r="J336" s="670"/>
    </row>
    <row r="337" spans="1:17" x14ac:dyDescent="0.2">
      <c r="A337" s="494" t="s">
        <v>5</v>
      </c>
      <c r="B337" s="691" t="s">
        <v>323</v>
      </c>
      <c r="C337" s="692"/>
      <c r="D337" s="692"/>
      <c r="E337" s="692"/>
      <c r="F337" s="692"/>
      <c r="G337" s="692"/>
      <c r="H337" s="692"/>
      <c r="I337" s="693"/>
      <c r="J337" s="670"/>
    </row>
    <row r="338" spans="1:17" x14ac:dyDescent="0.2">
      <c r="A338" s="494" t="s">
        <v>6</v>
      </c>
      <c r="B338" s="691" t="s">
        <v>37</v>
      </c>
      <c r="C338" s="692"/>
      <c r="D338" s="692"/>
      <c r="E338" s="692"/>
      <c r="F338" s="692"/>
      <c r="G338" s="692"/>
      <c r="H338" s="692"/>
      <c r="I338" s="693"/>
      <c r="J338" s="670"/>
    </row>
    <row r="339" spans="1:17" x14ac:dyDescent="0.2">
      <c r="A339" s="494" t="s">
        <v>8</v>
      </c>
      <c r="B339" s="691" t="s">
        <v>351</v>
      </c>
      <c r="C339" s="692"/>
      <c r="D339" s="692"/>
      <c r="E339" s="692"/>
      <c r="F339" s="692"/>
      <c r="G339" s="692"/>
      <c r="H339" s="692"/>
      <c r="I339" s="693"/>
      <c r="J339" s="670"/>
    </row>
    <row r="340" spans="1:17" ht="36" x14ac:dyDescent="0.2">
      <c r="A340" s="504" t="s">
        <v>10</v>
      </c>
      <c r="B340" s="505" t="s">
        <v>11</v>
      </c>
      <c r="C340" s="506" t="s">
        <v>12</v>
      </c>
      <c r="D340" s="507" t="s">
        <v>13</v>
      </c>
      <c r="E340" s="508" t="s">
        <v>14</v>
      </c>
      <c r="F340" s="505" t="s">
        <v>15</v>
      </c>
      <c r="G340" s="509" t="s">
        <v>16</v>
      </c>
      <c r="H340" s="505" t="s">
        <v>17</v>
      </c>
      <c r="I340" s="510" t="s">
        <v>18</v>
      </c>
      <c r="J340" s="670"/>
    </row>
    <row r="341" spans="1:17" ht="24" x14ac:dyDescent="0.2">
      <c r="A341" s="579" t="s">
        <v>272</v>
      </c>
      <c r="B341" s="482">
        <v>2</v>
      </c>
      <c r="C341" s="424">
        <v>105670972</v>
      </c>
      <c r="D341" s="424">
        <v>75574852</v>
      </c>
      <c r="E341" s="490">
        <f>C341-D341</f>
        <v>30096120</v>
      </c>
      <c r="F341" s="491">
        <f>E341/C341</f>
        <v>0.28480972049731879</v>
      </c>
      <c r="G341" s="512" t="s">
        <v>621</v>
      </c>
      <c r="H341" s="505"/>
      <c r="I341" s="510"/>
      <c r="J341" s="680">
        <v>30096120</v>
      </c>
      <c r="K341" s="681">
        <f>E341-J341</f>
        <v>0</v>
      </c>
      <c r="L341" s="680">
        <f>(J341/180)*135</f>
        <v>22572090</v>
      </c>
      <c r="M341" s="682">
        <f>E341-L341</f>
        <v>7524030</v>
      </c>
      <c r="N341" s="680">
        <f>(J341/180)*150</f>
        <v>25080100</v>
      </c>
      <c r="O341" s="682">
        <f>E341-N341</f>
        <v>5016020</v>
      </c>
      <c r="P341" s="680">
        <f>(J341/180)*165</f>
        <v>27588110</v>
      </c>
      <c r="Q341" s="682">
        <f>E341-P341</f>
        <v>2508010</v>
      </c>
    </row>
    <row r="342" spans="1:17" x14ac:dyDescent="0.2">
      <c r="A342" s="761" t="s">
        <v>41</v>
      </c>
      <c r="B342" s="762"/>
      <c r="C342" s="600">
        <f>C341</f>
        <v>105670972</v>
      </c>
      <c r="D342" s="639">
        <f>D341</f>
        <v>75574852</v>
      </c>
      <c r="E342" s="639">
        <f>E341</f>
        <v>30096120</v>
      </c>
      <c r="F342" s="601">
        <f>E342/C342</f>
        <v>0.28480972049731879</v>
      </c>
      <c r="G342" s="602"/>
      <c r="H342" s="603"/>
      <c r="I342" s="604"/>
      <c r="J342" s="670"/>
    </row>
    <row r="343" spans="1:17" x14ac:dyDescent="0.2">
      <c r="A343" s="704" t="s">
        <v>142</v>
      </c>
      <c r="B343" s="705"/>
      <c r="C343" s="705"/>
      <c r="D343" s="705"/>
      <c r="E343" s="705"/>
      <c r="F343" s="705"/>
      <c r="G343" s="705"/>
      <c r="H343" s="705"/>
      <c r="I343" s="706"/>
    </row>
    <row r="344" spans="1:17" ht="12.75" customHeight="1" x14ac:dyDescent="0.2">
      <c r="A344" s="494" t="s">
        <v>62</v>
      </c>
      <c r="B344" s="698" t="s">
        <v>63</v>
      </c>
      <c r="C344" s="699"/>
      <c r="D344" s="699"/>
      <c r="E344" s="699"/>
      <c r="F344" s="699"/>
      <c r="G344" s="699"/>
      <c r="H344" s="699"/>
      <c r="I344" s="700"/>
      <c r="J344" s="670"/>
    </row>
    <row r="345" spans="1:17" ht="12.75" customHeight="1" x14ac:dyDescent="0.2">
      <c r="A345" s="494" t="s">
        <v>3</v>
      </c>
      <c r="B345" s="698" t="s">
        <v>124</v>
      </c>
      <c r="C345" s="699"/>
      <c r="D345" s="699"/>
      <c r="E345" s="699"/>
      <c r="F345" s="699"/>
      <c r="G345" s="699"/>
      <c r="H345" s="699"/>
      <c r="I345" s="700"/>
      <c r="J345" s="670"/>
    </row>
    <row r="346" spans="1:17" ht="12.75" customHeight="1" x14ac:dyDescent="0.2">
      <c r="A346" s="494" t="s">
        <v>5</v>
      </c>
      <c r="B346" s="691" t="s">
        <v>143</v>
      </c>
      <c r="C346" s="692"/>
      <c r="D346" s="692"/>
      <c r="E346" s="692"/>
      <c r="F346" s="692"/>
      <c r="G346" s="692"/>
      <c r="H346" s="692"/>
      <c r="I346" s="693"/>
      <c r="J346" s="670"/>
    </row>
    <row r="347" spans="1:17" ht="12.75" customHeight="1" x14ac:dyDescent="0.2">
      <c r="A347" s="494" t="s">
        <v>6</v>
      </c>
      <c r="B347" s="691" t="s">
        <v>144</v>
      </c>
      <c r="C347" s="692"/>
      <c r="D347" s="692"/>
      <c r="E347" s="692"/>
      <c r="F347" s="692"/>
      <c r="G347" s="692"/>
      <c r="H347" s="692"/>
      <c r="I347" s="693"/>
      <c r="J347" s="670"/>
    </row>
    <row r="348" spans="1:17" x14ac:dyDescent="0.2">
      <c r="A348" s="494" t="s">
        <v>8</v>
      </c>
      <c r="B348" s="691" t="s">
        <v>145</v>
      </c>
      <c r="C348" s="692"/>
      <c r="D348" s="692"/>
      <c r="E348" s="692"/>
      <c r="F348" s="692"/>
      <c r="G348" s="692"/>
      <c r="H348" s="692"/>
      <c r="I348" s="693"/>
      <c r="J348" s="670"/>
    </row>
    <row r="349" spans="1:17" ht="36" x14ac:dyDescent="0.2">
      <c r="A349" s="504" t="s">
        <v>10</v>
      </c>
      <c r="B349" s="505" t="s">
        <v>11</v>
      </c>
      <c r="C349" s="506" t="s">
        <v>12</v>
      </c>
      <c r="D349" s="507" t="s">
        <v>13</v>
      </c>
      <c r="E349" s="508" t="s">
        <v>14</v>
      </c>
      <c r="F349" s="505" t="s">
        <v>15</v>
      </c>
      <c r="G349" s="509" t="s">
        <v>16</v>
      </c>
      <c r="H349" s="505" t="s">
        <v>17</v>
      </c>
      <c r="I349" s="510" t="s">
        <v>18</v>
      </c>
      <c r="J349" s="670"/>
    </row>
    <row r="350" spans="1:17" ht="19.5" customHeight="1" x14ac:dyDescent="0.2">
      <c r="A350" s="413" t="s">
        <v>563</v>
      </c>
      <c r="B350" s="530">
        <v>1</v>
      </c>
      <c r="C350" s="640">
        <v>9000000</v>
      </c>
      <c r="D350" s="521">
        <v>0</v>
      </c>
      <c r="E350" s="490">
        <f>C350-D350</f>
        <v>9000000</v>
      </c>
      <c r="F350" s="491">
        <f>E350/C350</f>
        <v>1</v>
      </c>
      <c r="G350" s="545"/>
      <c r="H350" s="546"/>
      <c r="I350" s="548"/>
      <c r="J350" s="670"/>
    </row>
    <row r="351" spans="1:17" ht="35.25" customHeight="1" x14ac:dyDescent="0.2">
      <c r="A351" s="641" t="s">
        <v>328</v>
      </c>
      <c r="B351" s="530" t="s">
        <v>331</v>
      </c>
      <c r="C351" s="640">
        <v>30000000</v>
      </c>
      <c r="D351" s="521">
        <v>0</v>
      </c>
      <c r="E351" s="490">
        <f>C351-D351</f>
        <v>30000000</v>
      </c>
      <c r="F351" s="491">
        <f>E351/C351</f>
        <v>1</v>
      </c>
      <c r="G351" s="545"/>
      <c r="H351" s="546"/>
      <c r="I351" s="548"/>
      <c r="J351" s="670"/>
    </row>
    <row r="352" spans="1:17" ht="30.75" customHeight="1" x14ac:dyDescent="0.2">
      <c r="A352" s="641" t="s">
        <v>329</v>
      </c>
      <c r="B352" s="530">
        <v>1</v>
      </c>
      <c r="C352" s="640">
        <v>35000000</v>
      </c>
      <c r="D352" s="521">
        <v>0</v>
      </c>
      <c r="E352" s="490">
        <f>C352-D352</f>
        <v>35000000</v>
      </c>
      <c r="F352" s="491">
        <f>E352/C352</f>
        <v>1</v>
      </c>
      <c r="G352" s="545"/>
      <c r="H352" s="546"/>
      <c r="I352" s="548"/>
      <c r="J352" s="670"/>
    </row>
    <row r="353" spans="1:17" ht="56.25" customHeight="1" x14ac:dyDescent="0.2">
      <c r="A353" s="523" t="s">
        <v>564</v>
      </c>
      <c r="B353" s="530">
        <v>1</v>
      </c>
      <c r="C353" s="640">
        <v>3900000</v>
      </c>
      <c r="D353" s="521">
        <v>0</v>
      </c>
      <c r="E353" s="490">
        <f>C353-D353</f>
        <v>3900000</v>
      </c>
      <c r="F353" s="491">
        <f>E353/C353</f>
        <v>1</v>
      </c>
      <c r="G353" s="545"/>
      <c r="H353" s="546"/>
      <c r="I353" s="548"/>
      <c r="J353" s="670"/>
    </row>
    <row r="354" spans="1:17" x14ac:dyDescent="0.2">
      <c r="A354" s="778" t="s">
        <v>146</v>
      </c>
      <c r="B354" s="779"/>
      <c r="C354" s="642">
        <f>SUM(C350:C353)</f>
        <v>77900000</v>
      </c>
      <c r="D354" s="643">
        <f>SUM(D350:D353)</f>
        <v>0</v>
      </c>
      <c r="E354" s="643">
        <f>SUM(E350:E353)</f>
        <v>77900000</v>
      </c>
      <c r="F354" s="644">
        <f>E354/C354</f>
        <v>1</v>
      </c>
      <c r="G354" s="645"/>
      <c r="H354" s="646"/>
      <c r="I354" s="647"/>
      <c r="J354" s="670"/>
    </row>
    <row r="355" spans="1:17" ht="12.75" customHeight="1" x14ac:dyDescent="0.2">
      <c r="A355" s="494" t="s">
        <v>62</v>
      </c>
      <c r="B355" s="698" t="s">
        <v>63</v>
      </c>
      <c r="C355" s="699"/>
      <c r="D355" s="699"/>
      <c r="E355" s="699"/>
      <c r="F355" s="699"/>
      <c r="G355" s="699"/>
      <c r="H355" s="699"/>
      <c r="I355" s="700"/>
      <c r="J355" s="670"/>
    </row>
    <row r="356" spans="1:17" ht="12.75" customHeight="1" x14ac:dyDescent="0.2">
      <c r="A356" s="494" t="s">
        <v>3</v>
      </c>
      <c r="B356" s="698" t="s">
        <v>124</v>
      </c>
      <c r="C356" s="699"/>
      <c r="D356" s="699"/>
      <c r="E356" s="699"/>
      <c r="F356" s="699"/>
      <c r="G356" s="699"/>
      <c r="H356" s="699"/>
      <c r="I356" s="700"/>
      <c r="J356" s="670"/>
    </row>
    <row r="357" spans="1:17" x14ac:dyDescent="0.2">
      <c r="A357" s="494" t="s">
        <v>5</v>
      </c>
      <c r="B357" s="691" t="s">
        <v>147</v>
      </c>
      <c r="C357" s="692"/>
      <c r="D357" s="692"/>
      <c r="E357" s="692"/>
      <c r="F357" s="692"/>
      <c r="G357" s="692"/>
      <c r="H357" s="692"/>
      <c r="I357" s="693"/>
      <c r="J357" s="670"/>
    </row>
    <row r="358" spans="1:17" x14ac:dyDescent="0.2">
      <c r="A358" s="494" t="s">
        <v>6</v>
      </c>
      <c r="B358" s="691" t="s">
        <v>144</v>
      </c>
      <c r="C358" s="692"/>
      <c r="D358" s="692"/>
      <c r="E358" s="692"/>
      <c r="F358" s="692"/>
      <c r="G358" s="692"/>
      <c r="H358" s="692"/>
      <c r="I358" s="693"/>
      <c r="J358" s="670"/>
    </row>
    <row r="359" spans="1:17" s="526" customFormat="1" ht="12.75" customHeight="1" x14ac:dyDescent="0.2">
      <c r="A359" s="494" t="s">
        <v>8</v>
      </c>
      <c r="B359" s="691" t="s">
        <v>145</v>
      </c>
      <c r="C359" s="692"/>
      <c r="D359" s="692"/>
      <c r="E359" s="692"/>
      <c r="F359" s="692"/>
      <c r="G359" s="692"/>
      <c r="H359" s="692"/>
      <c r="I359" s="693"/>
      <c r="J359" s="686"/>
      <c r="K359" s="686"/>
      <c r="L359" s="686"/>
      <c r="M359" s="686"/>
      <c r="N359" s="686"/>
      <c r="O359" s="686"/>
      <c r="P359" s="686"/>
      <c r="Q359" s="686"/>
    </row>
    <row r="360" spans="1:17" s="526" customFormat="1" ht="48.75" customHeight="1" x14ac:dyDescent="0.2">
      <c r="A360" s="504" t="s">
        <v>10</v>
      </c>
      <c r="B360" s="505" t="s">
        <v>11</v>
      </c>
      <c r="C360" s="506" t="s">
        <v>12</v>
      </c>
      <c r="D360" s="507" t="s">
        <v>13</v>
      </c>
      <c r="E360" s="508" t="s">
        <v>14</v>
      </c>
      <c r="F360" s="505" t="s">
        <v>15</v>
      </c>
      <c r="G360" s="509" t="s">
        <v>16</v>
      </c>
      <c r="H360" s="505" t="s">
        <v>17</v>
      </c>
      <c r="I360" s="510" t="s">
        <v>18</v>
      </c>
      <c r="J360" s="686"/>
      <c r="K360" s="686"/>
      <c r="L360" s="686"/>
      <c r="M360" s="686"/>
      <c r="N360" s="686"/>
      <c r="O360" s="686"/>
      <c r="P360" s="686"/>
      <c r="Q360" s="686"/>
    </row>
    <row r="361" spans="1:17" s="526" customFormat="1" x14ac:dyDescent="0.2">
      <c r="A361" s="789" t="s">
        <v>148</v>
      </c>
      <c r="B361" s="790"/>
      <c r="C361" s="790"/>
      <c r="D361" s="790"/>
      <c r="E361" s="790"/>
      <c r="F361" s="790"/>
      <c r="G361" s="790"/>
      <c r="H361" s="790"/>
      <c r="I361" s="791"/>
      <c r="J361" s="686"/>
      <c r="K361" s="686"/>
      <c r="L361" s="686"/>
      <c r="M361" s="686"/>
      <c r="N361" s="686"/>
      <c r="O361" s="686"/>
      <c r="P361" s="686"/>
      <c r="Q361" s="686"/>
    </row>
    <row r="362" spans="1:17" s="526" customFormat="1" ht="39.75" customHeight="1" x14ac:dyDescent="0.2">
      <c r="A362" s="648" t="s">
        <v>149</v>
      </c>
      <c r="B362" s="530" t="s">
        <v>331</v>
      </c>
      <c r="C362" s="640">
        <v>20000000</v>
      </c>
      <c r="D362" s="521">
        <v>0</v>
      </c>
      <c r="E362" s="490">
        <f>C362-D362</f>
        <v>20000000</v>
      </c>
      <c r="F362" s="491">
        <f>E362/C362</f>
        <v>1</v>
      </c>
      <c r="G362" s="632"/>
      <c r="H362" s="523"/>
      <c r="I362" s="524"/>
      <c r="J362" s="686"/>
      <c r="K362" s="686"/>
      <c r="L362" s="686"/>
      <c r="M362" s="686"/>
      <c r="N362" s="686"/>
      <c r="O362" s="686"/>
      <c r="P362" s="686"/>
      <c r="Q362" s="686"/>
    </row>
    <row r="363" spans="1:17" s="526" customFormat="1" ht="40.5" customHeight="1" x14ac:dyDescent="0.2">
      <c r="A363" s="648" t="s">
        <v>150</v>
      </c>
      <c r="B363" s="530">
        <v>100</v>
      </c>
      <c r="C363" s="640">
        <f>877803*B363</f>
        <v>87780300</v>
      </c>
      <c r="D363" s="521"/>
      <c r="E363" s="490"/>
      <c r="F363" s="491"/>
      <c r="G363" s="632"/>
      <c r="H363" s="523"/>
      <c r="I363" s="524"/>
      <c r="J363" s="686"/>
      <c r="K363" s="686"/>
      <c r="L363" s="686"/>
      <c r="M363" s="686"/>
      <c r="N363" s="686"/>
      <c r="O363" s="686"/>
      <c r="P363" s="686"/>
      <c r="Q363" s="686"/>
    </row>
    <row r="364" spans="1:17" ht="24" x14ac:dyDescent="0.2">
      <c r="A364" s="648" t="s">
        <v>151</v>
      </c>
      <c r="B364" s="530" t="s">
        <v>331</v>
      </c>
      <c r="C364" s="640">
        <v>613320000</v>
      </c>
      <c r="D364" s="521">
        <v>0</v>
      </c>
      <c r="E364" s="490">
        <f>C364-D364</f>
        <v>613320000</v>
      </c>
      <c r="F364" s="491">
        <f>E364/C364</f>
        <v>1</v>
      </c>
      <c r="G364" s="632"/>
      <c r="H364" s="523"/>
      <c r="I364" s="524"/>
      <c r="J364" s="670"/>
    </row>
    <row r="365" spans="1:17" s="526" customFormat="1" ht="33.75" customHeight="1" x14ac:dyDescent="0.2">
      <c r="A365" s="648" t="s">
        <v>565</v>
      </c>
      <c r="B365" s="530">
        <v>1</v>
      </c>
      <c r="C365" s="640">
        <v>9000000</v>
      </c>
      <c r="D365" s="521">
        <v>0</v>
      </c>
      <c r="E365" s="490">
        <f>C365-D365</f>
        <v>9000000</v>
      </c>
      <c r="F365" s="491">
        <f>E365/C365</f>
        <v>1</v>
      </c>
      <c r="G365" s="632"/>
      <c r="H365" s="523"/>
      <c r="I365" s="524"/>
      <c r="J365" s="686"/>
      <c r="K365" s="686"/>
      <c r="L365" s="686"/>
      <c r="M365" s="686"/>
      <c r="N365" s="686"/>
      <c r="O365" s="686"/>
      <c r="P365" s="686"/>
      <c r="Q365" s="686"/>
    </row>
    <row r="366" spans="1:17" s="526" customFormat="1" x14ac:dyDescent="0.2">
      <c r="A366" s="789" t="s">
        <v>152</v>
      </c>
      <c r="B366" s="790"/>
      <c r="C366" s="790"/>
      <c r="D366" s="790"/>
      <c r="E366" s="790"/>
      <c r="F366" s="790"/>
      <c r="G366" s="790"/>
      <c r="H366" s="790"/>
      <c r="I366" s="791"/>
      <c r="J366" s="686"/>
      <c r="K366" s="686"/>
      <c r="L366" s="686"/>
      <c r="M366" s="686"/>
      <c r="N366" s="686"/>
      <c r="O366" s="686"/>
      <c r="P366" s="686"/>
      <c r="Q366" s="686"/>
    </row>
    <row r="367" spans="1:17" ht="35.25" customHeight="1" x14ac:dyDescent="0.2">
      <c r="A367" s="413" t="s">
        <v>332</v>
      </c>
      <c r="B367" s="530">
        <v>2</v>
      </c>
      <c r="C367" s="640">
        <v>15000000</v>
      </c>
      <c r="D367" s="521">
        <v>15000000</v>
      </c>
      <c r="E367" s="490">
        <f t="shared" ref="E367:E373" si="33">C367-D367</f>
        <v>0</v>
      </c>
      <c r="F367" s="491">
        <f t="shared" ref="F367:F373" si="34">E367/C367</f>
        <v>0</v>
      </c>
      <c r="G367" s="632"/>
      <c r="H367" s="523"/>
      <c r="I367" s="524"/>
      <c r="J367" s="670"/>
    </row>
    <row r="368" spans="1:17" x14ac:dyDescent="0.2">
      <c r="A368" s="413" t="s">
        <v>609</v>
      </c>
      <c r="B368" s="530">
        <v>1</v>
      </c>
      <c r="C368" s="640">
        <v>10000000</v>
      </c>
      <c r="D368" s="521">
        <v>0</v>
      </c>
      <c r="E368" s="490">
        <f>C368-D368</f>
        <v>10000000</v>
      </c>
      <c r="F368" s="491">
        <f>E368/C368</f>
        <v>1</v>
      </c>
      <c r="G368" s="632"/>
      <c r="H368" s="523"/>
      <c r="I368" s="524"/>
      <c r="J368" s="670"/>
    </row>
    <row r="369" spans="1:10" x14ac:dyDescent="0.2">
      <c r="A369" s="413" t="s">
        <v>333</v>
      </c>
      <c r="B369" s="530">
        <v>2</v>
      </c>
      <c r="C369" s="640">
        <v>8000000</v>
      </c>
      <c r="D369" s="521">
        <v>8000000</v>
      </c>
      <c r="E369" s="490">
        <f t="shared" si="33"/>
        <v>0</v>
      </c>
      <c r="F369" s="491">
        <f t="shared" si="34"/>
        <v>0</v>
      </c>
      <c r="G369" s="632"/>
      <c r="H369" s="523"/>
      <c r="I369" s="524"/>
      <c r="J369" s="670"/>
    </row>
    <row r="370" spans="1:10" ht="39.75" customHeight="1" x14ac:dyDescent="0.2">
      <c r="A370" s="413" t="s">
        <v>334</v>
      </c>
      <c r="B370" s="530">
        <v>2</v>
      </c>
      <c r="C370" s="640">
        <v>90000000</v>
      </c>
      <c r="D370" s="521">
        <v>90000000</v>
      </c>
      <c r="E370" s="490">
        <f t="shared" si="33"/>
        <v>0</v>
      </c>
      <c r="F370" s="491">
        <f t="shared" si="34"/>
        <v>0</v>
      </c>
      <c r="G370" s="632"/>
      <c r="H370" s="523"/>
      <c r="I370" s="524"/>
      <c r="J370" s="670"/>
    </row>
    <row r="371" spans="1:10" ht="39" customHeight="1" x14ac:dyDescent="0.2">
      <c r="A371" s="165" t="s">
        <v>335</v>
      </c>
      <c r="B371" s="530">
        <v>1</v>
      </c>
      <c r="C371" s="640">
        <v>35000000</v>
      </c>
      <c r="D371" s="521">
        <v>0</v>
      </c>
      <c r="E371" s="490">
        <f t="shared" si="33"/>
        <v>35000000</v>
      </c>
      <c r="F371" s="491">
        <f t="shared" si="34"/>
        <v>1</v>
      </c>
      <c r="G371" s="561"/>
      <c r="H371" s="413"/>
      <c r="I371" s="114"/>
      <c r="J371" s="670"/>
    </row>
    <row r="372" spans="1:10" ht="25.5" customHeight="1" x14ac:dyDescent="0.2">
      <c r="A372" s="413" t="s">
        <v>154</v>
      </c>
      <c r="B372" s="530" t="s">
        <v>331</v>
      </c>
      <c r="C372" s="640">
        <v>30000000</v>
      </c>
      <c r="D372" s="521">
        <v>15000000</v>
      </c>
      <c r="E372" s="490">
        <f t="shared" si="33"/>
        <v>15000000</v>
      </c>
      <c r="F372" s="491">
        <f t="shared" si="34"/>
        <v>0.5</v>
      </c>
      <c r="G372" s="561"/>
      <c r="H372" s="413"/>
      <c r="I372" s="114"/>
      <c r="J372" s="670"/>
    </row>
    <row r="373" spans="1:10" ht="24" x14ac:dyDescent="0.2">
      <c r="A373" s="413" t="s">
        <v>336</v>
      </c>
      <c r="B373" s="530" t="s">
        <v>331</v>
      </c>
      <c r="C373" s="640">
        <v>50000000</v>
      </c>
      <c r="D373" s="521">
        <v>50000000</v>
      </c>
      <c r="E373" s="490">
        <f t="shared" si="33"/>
        <v>0</v>
      </c>
      <c r="F373" s="491">
        <f t="shared" si="34"/>
        <v>0</v>
      </c>
      <c r="G373" s="537"/>
      <c r="H373" s="413"/>
      <c r="I373" s="114"/>
      <c r="J373" s="670"/>
    </row>
    <row r="374" spans="1:10" x14ac:dyDescent="0.2">
      <c r="A374" s="789" t="s">
        <v>155</v>
      </c>
      <c r="B374" s="790"/>
      <c r="C374" s="790"/>
      <c r="D374" s="790"/>
      <c r="E374" s="790"/>
      <c r="F374" s="790"/>
      <c r="G374" s="790"/>
      <c r="H374" s="790"/>
      <c r="I374" s="791"/>
      <c r="J374" s="670"/>
    </row>
    <row r="375" spans="1:10" x14ac:dyDescent="0.2">
      <c r="A375" s="413" t="s">
        <v>156</v>
      </c>
      <c r="B375" s="530">
        <v>2</v>
      </c>
      <c r="C375" s="640">
        <v>20000000</v>
      </c>
      <c r="D375" s="521">
        <v>20000000</v>
      </c>
      <c r="E375" s="490">
        <f>C375-D375</f>
        <v>0</v>
      </c>
      <c r="F375" s="491">
        <f t="shared" ref="F375:F380" si="35">E375/C375</f>
        <v>0</v>
      </c>
      <c r="G375" s="545"/>
      <c r="H375" s="423"/>
      <c r="I375" s="548"/>
      <c r="J375" s="670"/>
    </row>
    <row r="376" spans="1:10" x14ac:dyDescent="0.2">
      <c r="A376" s="413" t="s">
        <v>608</v>
      </c>
      <c r="B376" s="530">
        <v>1</v>
      </c>
      <c r="C376" s="640">
        <v>5000000</v>
      </c>
      <c r="D376" s="521">
        <v>0</v>
      </c>
      <c r="E376" s="490">
        <f>C376-D376</f>
        <v>5000000</v>
      </c>
      <c r="F376" s="491">
        <f t="shared" si="35"/>
        <v>1</v>
      </c>
      <c r="G376" s="545"/>
      <c r="H376" s="423"/>
      <c r="I376" s="548"/>
      <c r="J376" s="670"/>
    </row>
    <row r="377" spans="1:10" x14ac:dyDescent="0.2">
      <c r="A377" s="413" t="s">
        <v>157</v>
      </c>
      <c r="B377" s="530">
        <v>10</v>
      </c>
      <c r="C377" s="640">
        <v>50000000</v>
      </c>
      <c r="D377" s="521">
        <v>0</v>
      </c>
      <c r="E377" s="490">
        <f>C377-D377</f>
        <v>50000000</v>
      </c>
      <c r="F377" s="491">
        <f t="shared" si="35"/>
        <v>1</v>
      </c>
      <c r="G377" s="545"/>
      <c r="H377" s="423"/>
      <c r="I377" s="548"/>
      <c r="J377" s="670"/>
    </row>
    <row r="378" spans="1:10" x14ac:dyDescent="0.2">
      <c r="A378" s="413" t="s">
        <v>158</v>
      </c>
      <c r="B378" s="530">
        <v>1</v>
      </c>
      <c r="C378" s="640">
        <v>21067272</v>
      </c>
      <c r="D378" s="521">
        <v>0</v>
      </c>
      <c r="E378" s="490">
        <f>C378-D378</f>
        <v>21067272</v>
      </c>
      <c r="F378" s="491">
        <f t="shared" si="35"/>
        <v>1</v>
      </c>
      <c r="G378" s="509"/>
      <c r="H378" s="482"/>
      <c r="I378" s="510"/>
      <c r="J378" s="670"/>
    </row>
    <row r="379" spans="1:10" x14ac:dyDescent="0.2">
      <c r="A379" s="413" t="s">
        <v>607</v>
      </c>
      <c r="B379" s="530">
        <v>1</v>
      </c>
      <c r="C379" s="640">
        <v>70000000</v>
      </c>
      <c r="D379" s="521">
        <v>70000000</v>
      </c>
      <c r="E379" s="490">
        <f>C379-D379</f>
        <v>0</v>
      </c>
      <c r="F379" s="491">
        <f t="shared" si="35"/>
        <v>0</v>
      </c>
      <c r="G379" s="509"/>
      <c r="H379" s="482"/>
      <c r="I379" s="510"/>
      <c r="J379" s="670"/>
    </row>
    <row r="380" spans="1:10" x14ac:dyDescent="0.2">
      <c r="A380" s="778" t="s">
        <v>159</v>
      </c>
      <c r="B380" s="779"/>
      <c r="C380" s="642">
        <f>SUM(C361:C378)</f>
        <v>1064167572</v>
      </c>
      <c r="D380" s="643">
        <f>SUM(D361:D378)</f>
        <v>198000000</v>
      </c>
      <c r="E380" s="643">
        <f>SUM(E361:E378)</f>
        <v>778387272</v>
      </c>
      <c r="F380" s="644">
        <f t="shared" si="35"/>
        <v>0.73145178680562162</v>
      </c>
      <c r="G380" s="645"/>
      <c r="H380" s="646"/>
      <c r="I380" s="647"/>
      <c r="J380" s="670"/>
    </row>
    <row r="381" spans="1:10" ht="12.75" customHeight="1" x14ac:dyDescent="0.2">
      <c r="A381" s="494" t="s">
        <v>62</v>
      </c>
      <c r="B381" s="698" t="s">
        <v>123</v>
      </c>
      <c r="C381" s="699"/>
      <c r="D381" s="699"/>
      <c r="E381" s="699"/>
      <c r="F381" s="699"/>
      <c r="G381" s="699"/>
      <c r="H381" s="699"/>
      <c r="I381" s="700"/>
      <c r="J381" s="670"/>
    </row>
    <row r="382" spans="1:10" ht="12.75" customHeight="1" x14ac:dyDescent="0.2">
      <c r="A382" s="494" t="s">
        <v>3</v>
      </c>
      <c r="B382" s="698" t="s">
        <v>126</v>
      </c>
      <c r="C382" s="699"/>
      <c r="D382" s="699"/>
      <c r="E382" s="699"/>
      <c r="F382" s="699"/>
      <c r="G382" s="699"/>
      <c r="H382" s="699"/>
      <c r="I382" s="700"/>
      <c r="J382" s="670"/>
    </row>
    <row r="383" spans="1:10" ht="12.75" customHeight="1" x14ac:dyDescent="0.2">
      <c r="A383" s="494" t="s">
        <v>5</v>
      </c>
      <c r="B383" s="691" t="s">
        <v>160</v>
      </c>
      <c r="C383" s="692"/>
      <c r="D383" s="692"/>
      <c r="E383" s="692"/>
      <c r="F383" s="692"/>
      <c r="G383" s="692"/>
      <c r="H383" s="692"/>
      <c r="I383" s="693"/>
      <c r="J383" s="670"/>
    </row>
    <row r="384" spans="1:10" x14ac:dyDescent="0.2">
      <c r="A384" s="494" t="s">
        <v>6</v>
      </c>
      <c r="B384" s="691" t="s">
        <v>128</v>
      </c>
      <c r="C384" s="692"/>
      <c r="D384" s="692"/>
      <c r="E384" s="692"/>
      <c r="F384" s="692"/>
      <c r="G384" s="692"/>
      <c r="H384" s="692"/>
      <c r="I384" s="693"/>
      <c r="J384" s="670"/>
    </row>
    <row r="385" spans="1:17" x14ac:dyDescent="0.2">
      <c r="A385" s="494" t="s">
        <v>8</v>
      </c>
      <c r="B385" s="691" t="s">
        <v>566</v>
      </c>
      <c r="C385" s="692"/>
      <c r="D385" s="692"/>
      <c r="E385" s="692"/>
      <c r="F385" s="692"/>
      <c r="G385" s="692"/>
      <c r="H385" s="692"/>
      <c r="I385" s="693"/>
      <c r="J385" s="670"/>
    </row>
    <row r="386" spans="1:17" ht="36" x14ac:dyDescent="0.2">
      <c r="A386" s="504" t="s">
        <v>10</v>
      </c>
      <c r="B386" s="505" t="s">
        <v>11</v>
      </c>
      <c r="C386" s="506" t="s">
        <v>12</v>
      </c>
      <c r="D386" s="507" t="s">
        <v>13</v>
      </c>
      <c r="E386" s="508" t="s">
        <v>14</v>
      </c>
      <c r="F386" s="505" t="s">
        <v>15</v>
      </c>
      <c r="G386" s="509" t="s">
        <v>16</v>
      </c>
      <c r="H386" s="505" t="s">
        <v>17</v>
      </c>
      <c r="I386" s="510" t="s">
        <v>18</v>
      </c>
      <c r="J386" s="670"/>
    </row>
    <row r="387" spans="1:17" ht="47.25" customHeight="1" x14ac:dyDescent="0.2">
      <c r="A387" s="168" t="s">
        <v>625</v>
      </c>
      <c r="B387" s="482">
        <v>1</v>
      </c>
      <c r="C387" s="649">
        <v>8000000</v>
      </c>
      <c r="D387" s="521">
        <v>8000000</v>
      </c>
      <c r="E387" s="490">
        <f>C387-D387</f>
        <v>0</v>
      </c>
      <c r="F387" s="491">
        <f t="shared" ref="F387:F392" si="36">E387/C387</f>
        <v>0</v>
      </c>
      <c r="G387" s="512"/>
      <c r="H387" s="505" t="s">
        <v>626</v>
      </c>
      <c r="I387" s="510"/>
      <c r="J387" s="670"/>
    </row>
    <row r="388" spans="1:17" ht="47.25" customHeight="1" x14ac:dyDescent="0.2">
      <c r="A388" s="118" t="s">
        <v>707</v>
      </c>
      <c r="B388" s="423">
        <v>1</v>
      </c>
      <c r="C388" s="649">
        <v>33474000</v>
      </c>
      <c r="D388" s="521">
        <v>33474000</v>
      </c>
      <c r="E388" s="490">
        <f>C388-D388</f>
        <v>0</v>
      </c>
      <c r="F388" s="491">
        <f t="shared" si="36"/>
        <v>0</v>
      </c>
      <c r="G388" s="547"/>
      <c r="H388" s="546"/>
      <c r="I388" s="548"/>
      <c r="J388" s="670"/>
    </row>
    <row r="389" spans="1:17" s="526" customFormat="1" ht="39.75" customHeight="1" x14ac:dyDescent="0.2">
      <c r="A389" s="416" t="s">
        <v>568</v>
      </c>
      <c r="B389" s="482">
        <v>1</v>
      </c>
      <c r="C389" s="420">
        <v>19000000</v>
      </c>
      <c r="D389" s="521">
        <v>0</v>
      </c>
      <c r="E389" s="490">
        <f>C389-D389</f>
        <v>19000000</v>
      </c>
      <c r="F389" s="491">
        <f t="shared" si="36"/>
        <v>1</v>
      </c>
      <c r="G389" s="512"/>
      <c r="H389" s="505"/>
      <c r="I389" s="510"/>
      <c r="J389" s="686"/>
      <c r="K389" s="686"/>
      <c r="L389" s="686"/>
      <c r="M389" s="686"/>
      <c r="N389" s="686"/>
      <c r="O389" s="686"/>
      <c r="P389" s="686"/>
      <c r="Q389" s="686"/>
    </row>
    <row r="390" spans="1:17" ht="39.75" customHeight="1" x14ac:dyDescent="0.2">
      <c r="A390" s="416" t="s">
        <v>569</v>
      </c>
      <c r="B390" s="482">
        <v>1</v>
      </c>
      <c r="C390" s="420">
        <v>9000000</v>
      </c>
      <c r="D390" s="521">
        <v>0</v>
      </c>
      <c r="E390" s="490">
        <f>C390-D390</f>
        <v>9000000</v>
      </c>
      <c r="F390" s="491">
        <f t="shared" si="36"/>
        <v>1</v>
      </c>
      <c r="G390" s="512"/>
      <c r="H390" s="505"/>
      <c r="I390" s="510"/>
      <c r="J390" s="670"/>
    </row>
    <row r="391" spans="1:17" ht="39.75" customHeight="1" x14ac:dyDescent="0.2">
      <c r="A391" s="416" t="s">
        <v>570</v>
      </c>
      <c r="B391" s="482">
        <v>1</v>
      </c>
      <c r="C391" s="420">
        <v>5000000</v>
      </c>
      <c r="D391" s="521">
        <v>0</v>
      </c>
      <c r="E391" s="490">
        <f>C391-D391</f>
        <v>5000000</v>
      </c>
      <c r="F391" s="491">
        <f t="shared" si="36"/>
        <v>1</v>
      </c>
      <c r="G391" s="509"/>
      <c r="H391" s="505"/>
      <c r="I391" s="510"/>
    </row>
    <row r="392" spans="1:17" ht="12.75" customHeight="1" x14ac:dyDescent="0.2">
      <c r="A392" s="785" t="s">
        <v>342</v>
      </c>
      <c r="B392" s="786"/>
      <c r="C392" s="642">
        <f>SUM(C387:C391)</f>
        <v>74474000</v>
      </c>
      <c r="D392" s="643">
        <f>SUM(D387:D391)</f>
        <v>41474000</v>
      </c>
      <c r="E392" s="643">
        <f>SUM(E387:E391)</f>
        <v>33000000</v>
      </c>
      <c r="F392" s="644">
        <f t="shared" si="36"/>
        <v>0.44310766173429655</v>
      </c>
      <c r="G392" s="645"/>
      <c r="H392" s="646"/>
      <c r="I392" s="647"/>
    </row>
    <row r="393" spans="1:17" ht="12.75" customHeight="1" x14ac:dyDescent="0.2">
      <c r="A393" s="494" t="s">
        <v>62</v>
      </c>
      <c r="B393" s="698" t="s">
        <v>43</v>
      </c>
      <c r="C393" s="699"/>
      <c r="D393" s="699"/>
      <c r="E393" s="699"/>
      <c r="F393" s="699"/>
      <c r="G393" s="699"/>
      <c r="H393" s="699"/>
      <c r="I393" s="700"/>
    </row>
    <row r="394" spans="1:17" ht="12.75" customHeight="1" x14ac:dyDescent="0.2">
      <c r="A394" s="494" t="s">
        <v>3</v>
      </c>
      <c r="B394" s="698" t="s">
        <v>162</v>
      </c>
      <c r="C394" s="699"/>
      <c r="D394" s="699"/>
      <c r="E394" s="699"/>
      <c r="F394" s="699"/>
      <c r="G394" s="699"/>
      <c r="H394" s="699"/>
      <c r="I394" s="700"/>
    </row>
    <row r="395" spans="1:17" x14ac:dyDescent="0.2">
      <c r="A395" s="494" t="s">
        <v>5</v>
      </c>
      <c r="B395" s="691" t="s">
        <v>163</v>
      </c>
      <c r="C395" s="692"/>
      <c r="D395" s="692"/>
      <c r="E395" s="692"/>
      <c r="F395" s="692"/>
      <c r="G395" s="692"/>
      <c r="H395" s="692"/>
      <c r="I395" s="693"/>
    </row>
    <row r="396" spans="1:17" x14ac:dyDescent="0.2">
      <c r="A396" s="494" t="s">
        <v>6</v>
      </c>
      <c r="B396" s="691" t="s">
        <v>144</v>
      </c>
      <c r="C396" s="692"/>
      <c r="D396" s="692"/>
      <c r="E396" s="692"/>
      <c r="F396" s="692"/>
      <c r="G396" s="692"/>
      <c r="H396" s="692"/>
      <c r="I396" s="693"/>
    </row>
    <row r="397" spans="1:17" x14ac:dyDescent="0.2">
      <c r="A397" s="494" t="s">
        <v>8</v>
      </c>
      <c r="B397" s="691" t="s">
        <v>164</v>
      </c>
      <c r="C397" s="692"/>
      <c r="D397" s="692"/>
      <c r="E397" s="692"/>
      <c r="F397" s="692"/>
      <c r="G397" s="692"/>
      <c r="H397" s="692"/>
      <c r="I397" s="693"/>
    </row>
    <row r="398" spans="1:17" s="550" customFormat="1" ht="26.25" customHeight="1" x14ac:dyDescent="0.25">
      <c r="A398" s="504" t="s">
        <v>10</v>
      </c>
      <c r="B398" s="505" t="s">
        <v>11</v>
      </c>
      <c r="C398" s="506" t="s">
        <v>12</v>
      </c>
      <c r="D398" s="507" t="s">
        <v>13</v>
      </c>
      <c r="E398" s="508" t="s">
        <v>14</v>
      </c>
      <c r="F398" s="505" t="s">
        <v>15</v>
      </c>
      <c r="G398" s="509" t="s">
        <v>16</v>
      </c>
      <c r="H398" s="505" t="s">
        <v>17</v>
      </c>
      <c r="I398" s="510" t="s">
        <v>18</v>
      </c>
      <c r="J398" s="685"/>
      <c r="K398" s="686"/>
      <c r="L398" s="686"/>
      <c r="M398" s="686"/>
      <c r="N398" s="686"/>
      <c r="O398" s="686"/>
      <c r="P398" s="686"/>
      <c r="Q398" s="686"/>
    </row>
    <row r="399" spans="1:17" s="550" customFormat="1" ht="123" customHeight="1" x14ac:dyDescent="0.25">
      <c r="A399" s="650" t="s">
        <v>571</v>
      </c>
      <c r="B399" s="505">
        <v>1</v>
      </c>
      <c r="C399" s="424">
        <v>16500000</v>
      </c>
      <c r="D399" s="521">
        <v>0</v>
      </c>
      <c r="E399" s="490">
        <f>C399-D399</f>
        <v>16500000</v>
      </c>
      <c r="F399" s="491">
        <f>E399/C399</f>
        <v>1</v>
      </c>
      <c r="G399" s="509"/>
      <c r="H399" s="505"/>
      <c r="I399" s="510"/>
      <c r="J399" s="685"/>
      <c r="K399" s="686"/>
      <c r="L399" s="686"/>
      <c r="M399" s="686"/>
      <c r="N399" s="686"/>
      <c r="O399" s="686"/>
      <c r="P399" s="686"/>
      <c r="Q399" s="686"/>
    </row>
    <row r="400" spans="1:17" s="526" customFormat="1" ht="26.25" customHeight="1" x14ac:dyDescent="0.2">
      <c r="A400" s="787" t="s">
        <v>165</v>
      </c>
      <c r="B400" s="788"/>
      <c r="C400" s="642">
        <f>SUM(C399)</f>
        <v>16500000</v>
      </c>
      <c r="D400" s="642">
        <f>SUM(D399)</f>
        <v>0</v>
      </c>
      <c r="E400" s="642">
        <f>SUM(E399)</f>
        <v>16500000</v>
      </c>
      <c r="F400" s="644">
        <f>E400/C400</f>
        <v>1</v>
      </c>
      <c r="G400" s="645"/>
      <c r="H400" s="646"/>
      <c r="I400" s="647"/>
      <c r="J400" s="685"/>
      <c r="K400" s="686"/>
      <c r="L400" s="686"/>
      <c r="M400" s="686"/>
      <c r="N400" s="686"/>
      <c r="O400" s="686"/>
      <c r="P400" s="686"/>
      <c r="Q400" s="686"/>
    </row>
    <row r="401" spans="1:17" s="526" customFormat="1" ht="12.75" customHeight="1" x14ac:dyDescent="0.2">
      <c r="A401" s="494" t="s">
        <v>62</v>
      </c>
      <c r="B401" s="698" t="s">
        <v>43</v>
      </c>
      <c r="C401" s="699"/>
      <c r="D401" s="699"/>
      <c r="E401" s="699"/>
      <c r="F401" s="699"/>
      <c r="G401" s="699"/>
      <c r="H401" s="699"/>
      <c r="I401" s="700"/>
      <c r="J401" s="685"/>
      <c r="K401" s="686"/>
      <c r="L401" s="686"/>
      <c r="M401" s="686"/>
      <c r="N401" s="686"/>
      <c r="O401" s="686"/>
      <c r="P401" s="686"/>
      <c r="Q401" s="686"/>
    </row>
    <row r="402" spans="1:17" s="526" customFormat="1" ht="12.75" customHeight="1" x14ac:dyDescent="0.2">
      <c r="A402" s="494" t="s">
        <v>3</v>
      </c>
      <c r="B402" s="698" t="s">
        <v>166</v>
      </c>
      <c r="C402" s="699"/>
      <c r="D402" s="699"/>
      <c r="E402" s="699"/>
      <c r="F402" s="699"/>
      <c r="G402" s="699"/>
      <c r="H402" s="699"/>
      <c r="I402" s="700"/>
      <c r="J402" s="685"/>
      <c r="K402" s="686"/>
      <c r="L402" s="686"/>
      <c r="M402" s="686"/>
      <c r="N402" s="686"/>
      <c r="O402" s="686"/>
      <c r="P402" s="686"/>
      <c r="Q402" s="686"/>
    </row>
    <row r="403" spans="1:17" s="526" customFormat="1" x14ac:dyDescent="0.2">
      <c r="A403" s="494" t="s">
        <v>5</v>
      </c>
      <c r="B403" s="691" t="s">
        <v>167</v>
      </c>
      <c r="C403" s="692"/>
      <c r="D403" s="692"/>
      <c r="E403" s="692"/>
      <c r="F403" s="692"/>
      <c r="G403" s="692"/>
      <c r="H403" s="692"/>
      <c r="I403" s="693"/>
      <c r="J403" s="685"/>
      <c r="K403" s="686"/>
      <c r="L403" s="686"/>
      <c r="M403" s="686"/>
      <c r="N403" s="686"/>
      <c r="O403" s="686"/>
      <c r="P403" s="686"/>
      <c r="Q403" s="686"/>
    </row>
    <row r="404" spans="1:17" x14ac:dyDescent="0.2">
      <c r="A404" s="494" t="s">
        <v>6</v>
      </c>
      <c r="B404" s="691" t="s">
        <v>144</v>
      </c>
      <c r="C404" s="692"/>
      <c r="D404" s="692"/>
      <c r="E404" s="692"/>
      <c r="F404" s="692"/>
      <c r="G404" s="692"/>
      <c r="H404" s="692"/>
      <c r="I404" s="693"/>
    </row>
    <row r="405" spans="1:17" s="526" customFormat="1" x14ac:dyDescent="0.2">
      <c r="A405" s="494" t="s">
        <v>8</v>
      </c>
      <c r="B405" s="691" t="s">
        <v>168</v>
      </c>
      <c r="C405" s="692"/>
      <c r="D405" s="692"/>
      <c r="E405" s="692"/>
      <c r="F405" s="692"/>
      <c r="G405" s="692"/>
      <c r="H405" s="692"/>
      <c r="I405" s="693"/>
      <c r="J405" s="685"/>
      <c r="K405" s="686"/>
      <c r="L405" s="686"/>
      <c r="M405" s="686"/>
      <c r="N405" s="686"/>
      <c r="O405" s="686"/>
      <c r="P405" s="686"/>
      <c r="Q405" s="686"/>
    </row>
    <row r="406" spans="1:17" ht="45" customHeight="1" x14ac:dyDescent="0.2">
      <c r="A406" s="504" t="s">
        <v>10</v>
      </c>
      <c r="B406" s="505" t="s">
        <v>11</v>
      </c>
      <c r="C406" s="506" t="s">
        <v>12</v>
      </c>
      <c r="D406" s="507" t="s">
        <v>13</v>
      </c>
      <c r="E406" s="508" t="s">
        <v>14</v>
      </c>
      <c r="F406" s="505" t="s">
        <v>15</v>
      </c>
      <c r="G406" s="509" t="s">
        <v>16</v>
      </c>
      <c r="H406" s="505" t="s">
        <v>17</v>
      </c>
      <c r="I406" s="510" t="s">
        <v>18</v>
      </c>
    </row>
    <row r="407" spans="1:17" s="526" customFormat="1" x14ac:dyDescent="0.2">
      <c r="A407" s="782" t="s">
        <v>169</v>
      </c>
      <c r="B407" s="783"/>
      <c r="C407" s="783"/>
      <c r="D407" s="783"/>
      <c r="E407" s="783"/>
      <c r="F407" s="783"/>
      <c r="G407" s="783"/>
      <c r="H407" s="783"/>
      <c r="I407" s="784"/>
      <c r="J407" s="685"/>
      <c r="K407" s="686"/>
      <c r="L407" s="686"/>
      <c r="M407" s="686"/>
      <c r="N407" s="686"/>
      <c r="O407" s="686"/>
      <c r="P407" s="686"/>
      <c r="Q407" s="686"/>
    </row>
    <row r="408" spans="1:17" s="526" customFormat="1" x14ac:dyDescent="0.2">
      <c r="A408" s="775" t="s">
        <v>170</v>
      </c>
      <c r="B408" s="776"/>
      <c r="C408" s="776"/>
      <c r="D408" s="776"/>
      <c r="E408" s="776"/>
      <c r="F408" s="776"/>
      <c r="G408" s="776"/>
      <c r="H408" s="776"/>
      <c r="I408" s="777"/>
      <c r="J408" s="685"/>
      <c r="K408" s="686"/>
      <c r="L408" s="686"/>
      <c r="M408" s="686"/>
      <c r="N408" s="686"/>
      <c r="O408" s="686"/>
      <c r="P408" s="686"/>
      <c r="Q408" s="686"/>
    </row>
    <row r="409" spans="1:17" s="526" customFormat="1" ht="26.25" customHeight="1" x14ac:dyDescent="0.2">
      <c r="A409" s="413" t="s">
        <v>345</v>
      </c>
      <c r="B409" s="530">
        <v>15</v>
      </c>
      <c r="C409" s="424">
        <v>12337800</v>
      </c>
      <c r="D409" s="521">
        <f>C409</f>
        <v>12337800</v>
      </c>
      <c r="E409" s="490">
        <f>C409-D409</f>
        <v>0</v>
      </c>
      <c r="F409" s="491">
        <f>E409/C409</f>
        <v>0</v>
      </c>
      <c r="G409" s="545"/>
      <c r="H409" s="423"/>
      <c r="I409" s="548"/>
      <c r="J409" s="685"/>
      <c r="K409" s="686"/>
      <c r="L409" s="686"/>
      <c r="M409" s="686"/>
      <c r="N409" s="686"/>
      <c r="O409" s="686"/>
      <c r="P409" s="686"/>
      <c r="Q409" s="686"/>
    </row>
    <row r="410" spans="1:17" s="526" customFormat="1" ht="26.25" customHeight="1" x14ac:dyDescent="0.2">
      <c r="A410" s="413" t="s">
        <v>360</v>
      </c>
      <c r="B410" s="530">
        <v>20</v>
      </c>
      <c r="C410" s="651">
        <v>10000000</v>
      </c>
      <c r="D410" s="521">
        <v>0</v>
      </c>
      <c r="E410" s="490">
        <f>C410-D410</f>
        <v>10000000</v>
      </c>
      <c r="F410" s="491">
        <f>E410/C410</f>
        <v>1</v>
      </c>
      <c r="G410" s="545"/>
      <c r="H410" s="423"/>
      <c r="I410" s="548"/>
      <c r="J410" s="685"/>
      <c r="K410" s="686"/>
      <c r="L410" s="686"/>
      <c r="M410" s="686"/>
      <c r="N410" s="686"/>
      <c r="O410" s="686"/>
      <c r="P410" s="686"/>
      <c r="Q410" s="686"/>
    </row>
    <row r="411" spans="1:17" s="526" customFormat="1" x14ac:dyDescent="0.2">
      <c r="A411" s="775" t="s">
        <v>172</v>
      </c>
      <c r="B411" s="776"/>
      <c r="C411" s="776"/>
      <c r="D411" s="776"/>
      <c r="E411" s="776"/>
      <c r="F411" s="776"/>
      <c r="G411" s="776"/>
      <c r="H411" s="776"/>
      <c r="I411" s="777"/>
      <c r="J411" s="685"/>
      <c r="K411" s="686"/>
      <c r="L411" s="686"/>
      <c r="M411" s="686"/>
      <c r="N411" s="686"/>
      <c r="O411" s="686"/>
      <c r="P411" s="686"/>
      <c r="Q411" s="686"/>
    </row>
    <row r="412" spans="1:17" ht="25.5" customHeight="1" x14ac:dyDescent="0.2">
      <c r="A412" s="413" t="s">
        <v>572</v>
      </c>
      <c r="B412" s="530">
        <v>1</v>
      </c>
      <c r="C412" s="640">
        <v>40000000</v>
      </c>
      <c r="D412" s="424">
        <v>0</v>
      </c>
      <c r="E412" s="490">
        <f t="shared" ref="E412:E425" si="37">C412-D412</f>
        <v>40000000</v>
      </c>
      <c r="F412" s="491">
        <f t="shared" ref="F412:F425" si="38">E412/C412</f>
        <v>1</v>
      </c>
      <c r="G412" s="557"/>
      <c r="H412" s="652"/>
      <c r="I412" s="653"/>
    </row>
    <row r="413" spans="1:17" ht="32.25" customHeight="1" x14ac:dyDescent="0.2">
      <c r="A413" s="413" t="s">
        <v>173</v>
      </c>
      <c r="B413" s="530">
        <v>1</v>
      </c>
      <c r="C413" s="640">
        <v>20000000</v>
      </c>
      <c r="D413" s="424">
        <v>20000000</v>
      </c>
      <c r="E413" s="490">
        <f t="shared" si="37"/>
        <v>0</v>
      </c>
      <c r="F413" s="491">
        <f t="shared" si="38"/>
        <v>0</v>
      </c>
      <c r="G413" s="557"/>
      <c r="H413" s="423"/>
      <c r="I413" s="653"/>
    </row>
    <row r="414" spans="1:17" ht="32.25" customHeight="1" x14ac:dyDescent="0.2">
      <c r="A414" s="413" t="s">
        <v>573</v>
      </c>
      <c r="B414" s="530">
        <v>1</v>
      </c>
      <c r="C414" s="640">
        <v>69494591</v>
      </c>
      <c r="D414" s="424">
        <v>69494591</v>
      </c>
      <c r="E414" s="490">
        <f>C414-D414</f>
        <v>0</v>
      </c>
      <c r="F414" s="491">
        <f>E414/C414</f>
        <v>0</v>
      </c>
      <c r="G414" s="557"/>
      <c r="H414" s="423"/>
      <c r="I414" s="653"/>
    </row>
    <row r="415" spans="1:17" ht="32.25" customHeight="1" x14ac:dyDescent="0.2">
      <c r="A415" s="413" t="s">
        <v>176</v>
      </c>
      <c r="B415" s="530">
        <v>1</v>
      </c>
      <c r="C415" s="654">
        <v>5000000</v>
      </c>
      <c r="D415" s="424">
        <v>0</v>
      </c>
      <c r="E415" s="490">
        <f>C415-D415</f>
        <v>5000000</v>
      </c>
      <c r="F415" s="491">
        <f>E415/C415</f>
        <v>1</v>
      </c>
      <c r="G415" s="557"/>
      <c r="H415" s="423"/>
      <c r="I415" s="653"/>
    </row>
    <row r="416" spans="1:17" ht="32.25" customHeight="1" x14ac:dyDescent="0.2">
      <c r="A416" s="413" t="s">
        <v>177</v>
      </c>
      <c r="B416" s="530">
        <v>1</v>
      </c>
      <c r="C416" s="640">
        <v>130475401</v>
      </c>
      <c r="D416" s="424">
        <v>130475401</v>
      </c>
      <c r="E416" s="490">
        <f>C416-D416</f>
        <v>0</v>
      </c>
      <c r="F416" s="491">
        <f>E416/C416</f>
        <v>0</v>
      </c>
      <c r="G416" s="557"/>
      <c r="H416" s="423"/>
      <c r="I416" s="653"/>
    </row>
    <row r="417" spans="1:17" ht="38.25" customHeight="1" x14ac:dyDescent="0.2">
      <c r="A417" s="413" t="s">
        <v>178</v>
      </c>
      <c r="B417" s="530">
        <v>8</v>
      </c>
      <c r="C417" s="640">
        <v>15000000</v>
      </c>
      <c r="D417" s="424">
        <v>15000000</v>
      </c>
      <c r="E417" s="490">
        <f t="shared" si="37"/>
        <v>0</v>
      </c>
      <c r="F417" s="491">
        <f t="shared" si="38"/>
        <v>0</v>
      </c>
      <c r="G417" s="545"/>
      <c r="H417" s="118"/>
      <c r="I417" s="548"/>
    </row>
    <row r="418" spans="1:17" ht="23.25" customHeight="1" x14ac:dyDescent="0.2">
      <c r="A418" s="413" t="s">
        <v>179</v>
      </c>
      <c r="B418" s="530">
        <v>1</v>
      </c>
      <c r="C418" s="640">
        <v>76000000</v>
      </c>
      <c r="D418" s="424">
        <v>76000000</v>
      </c>
      <c r="E418" s="490">
        <f t="shared" si="37"/>
        <v>0</v>
      </c>
      <c r="F418" s="491">
        <f t="shared" si="38"/>
        <v>0</v>
      </c>
      <c r="G418" s="547"/>
      <c r="H418" s="546"/>
      <c r="I418" s="548"/>
    </row>
    <row r="419" spans="1:17" ht="21" customHeight="1" x14ac:dyDescent="0.2">
      <c r="A419" s="413" t="s">
        <v>686</v>
      </c>
      <c r="B419" s="530">
        <v>1</v>
      </c>
      <c r="C419" s="640">
        <v>90000000</v>
      </c>
      <c r="D419" s="424">
        <v>0</v>
      </c>
      <c r="E419" s="490">
        <f t="shared" ref="E419" si="39">C419-D419</f>
        <v>90000000</v>
      </c>
      <c r="F419" s="491">
        <f t="shared" ref="F419" si="40">E419/C419</f>
        <v>1</v>
      </c>
      <c r="G419" s="547"/>
      <c r="H419" s="546"/>
      <c r="I419" s="548" t="s">
        <v>687</v>
      </c>
    </row>
    <row r="420" spans="1:17" ht="19.5" customHeight="1" x14ac:dyDescent="0.2">
      <c r="A420" s="413" t="s">
        <v>574</v>
      </c>
      <c r="B420" s="530">
        <v>1</v>
      </c>
      <c r="C420" s="655">
        <v>100000000</v>
      </c>
      <c r="D420" s="521">
        <v>100000000</v>
      </c>
      <c r="E420" s="490">
        <f t="shared" si="37"/>
        <v>0</v>
      </c>
      <c r="F420" s="491">
        <f t="shared" si="38"/>
        <v>0</v>
      </c>
      <c r="G420" s="547"/>
      <c r="H420" s="118"/>
      <c r="I420" s="548"/>
    </row>
    <row r="421" spans="1:17" ht="42.75" customHeight="1" x14ac:dyDescent="0.2">
      <c r="A421" s="413" t="s">
        <v>695</v>
      </c>
      <c r="B421" s="530">
        <v>1</v>
      </c>
      <c r="C421" s="676">
        <v>26500000</v>
      </c>
      <c r="D421" s="521">
        <v>0</v>
      </c>
      <c r="E421" s="490">
        <f t="shared" ref="E421" si="41">C421-D421</f>
        <v>26500000</v>
      </c>
      <c r="F421" s="491">
        <f t="shared" ref="F421" si="42">E421/C421</f>
        <v>1</v>
      </c>
      <c r="G421" s="547"/>
      <c r="H421" s="118"/>
      <c r="I421" s="548"/>
    </row>
    <row r="422" spans="1:17" ht="276" customHeight="1" x14ac:dyDescent="0.2">
      <c r="A422" s="413" t="s">
        <v>562</v>
      </c>
      <c r="B422" s="530">
        <v>16</v>
      </c>
      <c r="C422" s="424">
        <f>669295185</f>
        <v>669295185</v>
      </c>
      <c r="D422" s="424">
        <f>464009433+12198000+9347085-47485098-47485098</f>
        <v>390584322</v>
      </c>
      <c r="E422" s="490">
        <f>C422-D422</f>
        <v>278710863</v>
      </c>
      <c r="F422" s="491">
        <f>E422/C422</f>
        <v>0.41642442564411997</v>
      </c>
      <c r="G422" s="547" t="s">
        <v>634</v>
      </c>
      <c r="H422" s="118"/>
      <c r="I422" s="653"/>
      <c r="J422" s="680">
        <v>171498511</v>
      </c>
      <c r="K422" s="681">
        <f>E422-J422</f>
        <v>107212352</v>
      </c>
      <c r="L422" s="680">
        <f>(J422/180)*135</f>
        <v>128623883.25</v>
      </c>
      <c r="M422" s="682">
        <f>E422-L422</f>
        <v>150086979.75</v>
      </c>
      <c r="N422" s="680">
        <f>(J422/180)*150</f>
        <v>142915425.83333334</v>
      </c>
      <c r="O422" s="682">
        <f>E422-N422</f>
        <v>135795437.16666666</v>
      </c>
      <c r="P422" s="680">
        <f>(J422/180)*165</f>
        <v>157206968.41666666</v>
      </c>
      <c r="Q422" s="682">
        <f>E422-P422</f>
        <v>121503894.58333334</v>
      </c>
    </row>
    <row r="423" spans="1:17" ht="157.5" customHeight="1" x14ac:dyDescent="0.2">
      <c r="A423" s="413" t="s">
        <v>575</v>
      </c>
      <c r="B423" s="530">
        <v>8</v>
      </c>
      <c r="C423" s="424">
        <v>265737522</v>
      </c>
      <c r="D423" s="424">
        <f>212383074+26479740</f>
        <v>238862814</v>
      </c>
      <c r="E423" s="490">
        <f>C423-D423</f>
        <v>26874708</v>
      </c>
      <c r="F423" s="491">
        <f>E423/C423</f>
        <v>0.10113253031688917</v>
      </c>
      <c r="G423" s="547" t="s">
        <v>709</v>
      </c>
      <c r="H423" s="118"/>
      <c r="I423" s="548"/>
      <c r="J423" s="680">
        <v>0</v>
      </c>
      <c r="K423" s="681">
        <f>E423-J423</f>
        <v>26874708</v>
      </c>
      <c r="L423" s="680">
        <f>(J423/180)*135</f>
        <v>0</v>
      </c>
      <c r="M423" s="682">
        <f>E423-L423</f>
        <v>26874708</v>
      </c>
      <c r="N423" s="680">
        <f>(J423/180)*150</f>
        <v>0</v>
      </c>
      <c r="O423" s="682">
        <f>E423-N423</f>
        <v>26874708</v>
      </c>
      <c r="P423" s="680">
        <f>(J423/180)*165</f>
        <v>0</v>
      </c>
      <c r="Q423" s="682">
        <f>E423-P423</f>
        <v>26874708</v>
      </c>
    </row>
    <row r="424" spans="1:17" ht="12.75" customHeight="1" x14ac:dyDescent="0.2">
      <c r="A424" s="413" t="s">
        <v>576</v>
      </c>
      <c r="B424" s="530">
        <v>1</v>
      </c>
      <c r="C424" s="424">
        <v>66352000</v>
      </c>
      <c r="D424" s="424">
        <v>36192000</v>
      </c>
      <c r="E424" s="490">
        <f>C424-D424</f>
        <v>30160000</v>
      </c>
      <c r="F424" s="491">
        <f>E424/C424</f>
        <v>0.45454545454545453</v>
      </c>
      <c r="G424" s="547" t="s">
        <v>623</v>
      </c>
      <c r="H424" s="118"/>
      <c r="I424" s="548"/>
      <c r="J424" s="680">
        <v>30160000</v>
      </c>
      <c r="K424" s="681">
        <f>E424-J424</f>
        <v>0</v>
      </c>
      <c r="L424" s="680">
        <f>(J424/180)*135</f>
        <v>22620000</v>
      </c>
      <c r="M424" s="682">
        <f>E424-L424</f>
        <v>7540000</v>
      </c>
      <c r="N424" s="680">
        <f>(J424/180)*150</f>
        <v>25133333.333333336</v>
      </c>
      <c r="O424" s="682">
        <f>E424-N424</f>
        <v>5026666.6666666642</v>
      </c>
      <c r="P424" s="680">
        <f>(J424/180)*165</f>
        <v>27646666.666666668</v>
      </c>
      <c r="Q424" s="682">
        <f>E424-P424</f>
        <v>2513333.3333333321</v>
      </c>
    </row>
    <row r="425" spans="1:17" ht="12.75" customHeight="1" x14ac:dyDescent="0.2">
      <c r="A425" s="413"/>
      <c r="B425" s="656"/>
      <c r="C425" s="424">
        <v>0</v>
      </c>
      <c r="D425" s="521">
        <v>0</v>
      </c>
      <c r="E425" s="490">
        <f t="shared" si="37"/>
        <v>0</v>
      </c>
      <c r="F425" s="491" t="e">
        <f t="shared" si="38"/>
        <v>#DIV/0!</v>
      </c>
      <c r="G425" s="547"/>
      <c r="H425" s="118"/>
      <c r="I425" s="548"/>
      <c r="J425" s="670"/>
    </row>
    <row r="426" spans="1:17" ht="12.75" customHeight="1" x14ac:dyDescent="0.2">
      <c r="A426" s="778" t="s">
        <v>181</v>
      </c>
      <c r="B426" s="779"/>
      <c r="C426" s="642">
        <f>SUM(C409:C425)</f>
        <v>1596192499</v>
      </c>
      <c r="D426" s="642">
        <f>SUM(D409:D425)</f>
        <v>1088946928</v>
      </c>
      <c r="E426" s="642">
        <f>SUM(E409:E425)</f>
        <v>507245571</v>
      </c>
      <c r="F426" s="644">
        <f>E426/C426</f>
        <v>0.31778471037658973</v>
      </c>
      <c r="G426" s="645"/>
      <c r="H426" s="646"/>
      <c r="I426" s="647"/>
      <c r="J426" s="670"/>
    </row>
    <row r="427" spans="1:17" ht="12.75" customHeight="1" thickBot="1" x14ac:dyDescent="0.25">
      <c r="A427" s="780" t="s">
        <v>182</v>
      </c>
      <c r="B427" s="781"/>
      <c r="C427" s="657">
        <f>C426+C400+C392+C380+C354</f>
        <v>2829234071</v>
      </c>
      <c r="D427" s="657">
        <f>D426+D400+D392+D380+D354</f>
        <v>1328420928</v>
      </c>
      <c r="E427" s="657">
        <f>E426+E400+E392+E380+E354</f>
        <v>1413032843</v>
      </c>
      <c r="F427" s="658">
        <f>E427/C427</f>
        <v>0.49944006311947176</v>
      </c>
      <c r="G427" s="659"/>
      <c r="H427" s="660"/>
      <c r="I427" s="661"/>
      <c r="J427" s="670"/>
    </row>
    <row r="428" spans="1:17" ht="12.75" customHeight="1" x14ac:dyDescent="0.2">
      <c r="A428" s="662"/>
      <c r="B428" s="663"/>
      <c r="C428" s="664"/>
      <c r="D428" s="665"/>
      <c r="E428" s="666"/>
      <c r="F428" s="667"/>
      <c r="G428" s="668"/>
      <c r="H428" s="669"/>
      <c r="I428" s="669"/>
      <c r="J428" s="680">
        <f t="shared" ref="J428:Q428" si="43">SUM(J1:J427)</f>
        <v>1278250455</v>
      </c>
      <c r="K428" s="680">
        <f t="shared" si="43"/>
        <v>104798173</v>
      </c>
      <c r="L428" s="680">
        <f t="shared" si="43"/>
        <v>958687841.25</v>
      </c>
      <c r="M428" s="680">
        <f t="shared" si="43"/>
        <v>424360786.75</v>
      </c>
      <c r="N428" s="680">
        <f t="shared" si="43"/>
        <v>1065208712.5000002</v>
      </c>
      <c r="O428" s="680">
        <f t="shared" si="43"/>
        <v>317839915.5</v>
      </c>
      <c r="P428" s="680">
        <f t="shared" si="43"/>
        <v>1171729583.75</v>
      </c>
      <c r="Q428" s="680">
        <f t="shared" si="43"/>
        <v>211319044.25000003</v>
      </c>
    </row>
    <row r="429" spans="1:17" x14ac:dyDescent="0.2">
      <c r="B429" s="493"/>
      <c r="C429" s="528"/>
      <c r="D429" s="493"/>
      <c r="E429" s="493"/>
      <c r="F429" s="493"/>
      <c r="G429" s="493"/>
      <c r="I429" s="493"/>
      <c r="J429" s="670"/>
    </row>
    <row r="430" spans="1:17" ht="36" customHeight="1" x14ac:dyDescent="0.2">
      <c r="B430" s="493"/>
      <c r="C430" s="528"/>
      <c r="D430" s="493"/>
      <c r="E430" s="493"/>
      <c r="F430" s="493"/>
      <c r="G430" s="493"/>
      <c r="I430" s="493"/>
      <c r="J430" s="679" t="s">
        <v>705</v>
      </c>
      <c r="K430" s="679" t="s">
        <v>702</v>
      </c>
      <c r="L430" s="679" t="s">
        <v>703</v>
      </c>
      <c r="M430" s="679" t="s">
        <v>702</v>
      </c>
      <c r="N430" s="679" t="s">
        <v>704</v>
      </c>
      <c r="O430" s="679" t="s">
        <v>702</v>
      </c>
      <c r="P430" s="679" t="s">
        <v>706</v>
      </c>
      <c r="Q430" s="679" t="s">
        <v>702</v>
      </c>
    </row>
    <row r="431" spans="1:17" x14ac:dyDescent="0.2">
      <c r="B431" s="493"/>
      <c r="C431" s="528"/>
      <c r="D431" s="493"/>
      <c r="E431" s="493"/>
      <c r="F431" s="493"/>
      <c r="G431" s="493"/>
      <c r="I431" s="689" t="s">
        <v>708</v>
      </c>
      <c r="J431" s="670"/>
    </row>
    <row r="432" spans="1:17" ht="15" x14ac:dyDescent="0.25">
      <c r="B432" s="493"/>
      <c r="C432" s="528"/>
      <c r="D432" s="493"/>
      <c r="E432" s="493"/>
      <c r="F432" s="493"/>
      <c r="G432" s="493"/>
      <c r="I432" s="688">
        <v>1275812400</v>
      </c>
      <c r="J432" s="690">
        <f>I432-J428</f>
        <v>-2438055</v>
      </c>
      <c r="L432" s="690">
        <f>I432-L428</f>
        <v>317124558.75</v>
      </c>
      <c r="N432" s="690">
        <f>I432-N428</f>
        <v>210603687.49999976</v>
      </c>
      <c r="P432" s="690">
        <f>I432-P428</f>
        <v>104082816.25</v>
      </c>
    </row>
    <row r="433" spans="2:10" x14ac:dyDescent="0.2">
      <c r="B433" s="493"/>
      <c r="C433" s="528"/>
      <c r="D433" s="493"/>
      <c r="E433" s="493"/>
      <c r="F433" s="493"/>
      <c r="G433" s="493"/>
      <c r="I433" s="493"/>
      <c r="J433" s="670"/>
    </row>
    <row r="434" spans="2:10" x14ac:dyDescent="0.2">
      <c r="B434" s="493"/>
      <c r="C434" s="528"/>
      <c r="D434" s="493"/>
      <c r="E434" s="493"/>
      <c r="F434" s="493"/>
      <c r="G434" s="493"/>
      <c r="I434" s="493"/>
      <c r="J434" s="670"/>
    </row>
    <row r="435" spans="2:10" x14ac:dyDescent="0.2">
      <c r="B435" s="493"/>
      <c r="C435" s="528"/>
      <c r="D435" s="493"/>
      <c r="E435" s="493"/>
      <c r="F435" s="493"/>
      <c r="G435" s="493"/>
      <c r="I435" s="493"/>
      <c r="J435" s="670"/>
    </row>
    <row r="436" spans="2:10" x14ac:dyDescent="0.2">
      <c r="B436" s="493"/>
      <c r="C436" s="528"/>
      <c r="D436" s="493"/>
      <c r="E436" s="493"/>
      <c r="F436" s="493"/>
      <c r="G436" s="493"/>
      <c r="I436" s="493"/>
    </row>
    <row r="437" spans="2:10" x14ac:dyDescent="0.2">
      <c r="B437" s="493"/>
      <c r="C437" s="528"/>
      <c r="D437" s="493"/>
      <c r="E437" s="493"/>
      <c r="F437" s="493"/>
      <c r="G437" s="493"/>
      <c r="I437" s="493"/>
    </row>
    <row r="438" spans="2:10" x14ac:dyDescent="0.2">
      <c r="B438" s="493"/>
      <c r="C438" s="528"/>
      <c r="D438" s="493"/>
      <c r="E438" s="493"/>
      <c r="F438" s="493"/>
      <c r="G438" s="493"/>
      <c r="I438" s="493"/>
    </row>
    <row r="439" spans="2:10" x14ac:dyDescent="0.2">
      <c r="B439" s="493"/>
      <c r="C439" s="528"/>
      <c r="D439" s="493"/>
      <c r="E439" s="493"/>
      <c r="F439" s="493"/>
      <c r="G439" s="493"/>
      <c r="I439" s="493"/>
      <c r="J439" s="670"/>
    </row>
    <row r="440" spans="2:10" x14ac:dyDescent="0.2">
      <c r="B440" s="493"/>
      <c r="C440" s="528"/>
      <c r="D440" s="493"/>
      <c r="E440" s="493"/>
      <c r="F440" s="493"/>
      <c r="G440" s="493"/>
      <c r="I440" s="493"/>
    </row>
    <row r="441" spans="2:10" x14ac:dyDescent="0.2">
      <c r="B441" s="493"/>
      <c r="C441" s="528"/>
      <c r="D441" s="493"/>
      <c r="E441" s="493"/>
      <c r="F441" s="493"/>
      <c r="G441" s="493"/>
      <c r="I441" s="493"/>
    </row>
    <row r="442" spans="2:10" x14ac:dyDescent="0.2">
      <c r="B442" s="493"/>
      <c r="C442" s="528"/>
      <c r="D442" s="493"/>
      <c r="E442" s="493"/>
      <c r="F442" s="493"/>
      <c r="G442" s="493"/>
      <c r="I442" s="493"/>
    </row>
    <row r="443" spans="2:10" x14ac:dyDescent="0.2">
      <c r="B443" s="493"/>
      <c r="C443" s="528"/>
      <c r="D443" s="493"/>
      <c r="E443" s="493"/>
      <c r="F443" s="493"/>
      <c r="G443" s="493"/>
      <c r="I443" s="493"/>
    </row>
    <row r="444" spans="2:10" x14ac:dyDescent="0.2">
      <c r="B444" s="493"/>
      <c r="C444" s="528"/>
      <c r="D444" s="493"/>
      <c r="E444" s="493"/>
      <c r="F444" s="493"/>
      <c r="G444" s="493"/>
      <c r="I444" s="493"/>
    </row>
    <row r="445" spans="2:10" x14ac:dyDescent="0.2">
      <c r="B445" s="493"/>
      <c r="C445" s="528"/>
      <c r="D445" s="493"/>
      <c r="E445" s="493"/>
      <c r="F445" s="493"/>
      <c r="G445" s="493"/>
      <c r="I445" s="493"/>
    </row>
    <row r="449" spans="2:9" x14ac:dyDescent="0.2">
      <c r="B449" s="493"/>
      <c r="C449" s="528"/>
      <c r="D449" s="493"/>
      <c r="E449" s="493"/>
      <c r="F449" s="493"/>
      <c r="G449" s="493"/>
      <c r="I449" s="493"/>
    </row>
  </sheetData>
  <protectedRanges>
    <protectedRange password="C7A1" sqref="A49" name="Rango1_10_2_1_1_1_1_1_1"/>
  </protectedRanges>
  <mergeCells count="209">
    <mergeCell ref="B244:I244"/>
    <mergeCell ref="B245:I245"/>
    <mergeCell ref="A250:B250"/>
    <mergeCell ref="B227:I227"/>
    <mergeCell ref="B218:I218"/>
    <mergeCell ref="B219:I219"/>
    <mergeCell ref="B228:I228"/>
    <mergeCell ref="B229:I229"/>
    <mergeCell ref="B230:I230"/>
    <mergeCell ref="B231:I231"/>
    <mergeCell ref="A240:B240"/>
    <mergeCell ref="B220:I220"/>
    <mergeCell ref="B221:I221"/>
    <mergeCell ref="B222:I222"/>
    <mergeCell ref="A225:B225"/>
    <mergeCell ref="B226:I226"/>
    <mergeCell ref="A193:B193"/>
    <mergeCell ref="B194:I194"/>
    <mergeCell ref="B401:I401"/>
    <mergeCell ref="B402:I402"/>
    <mergeCell ref="B403:I403"/>
    <mergeCell ref="B396:I396"/>
    <mergeCell ref="B397:I397"/>
    <mergeCell ref="A400:B400"/>
    <mergeCell ref="B381:I381"/>
    <mergeCell ref="A366:I366"/>
    <mergeCell ref="A374:I374"/>
    <mergeCell ref="A380:B380"/>
    <mergeCell ref="B348:I348"/>
    <mergeCell ref="A354:B354"/>
    <mergeCell ref="B355:I355"/>
    <mergeCell ref="B356:I356"/>
    <mergeCell ref="B357:I357"/>
    <mergeCell ref="B358:I358"/>
    <mergeCell ref="B359:I359"/>
    <mergeCell ref="A361:I361"/>
    <mergeCell ref="B339:I339"/>
    <mergeCell ref="B241:I241"/>
    <mergeCell ref="B242:I242"/>
    <mergeCell ref="B243:I243"/>
    <mergeCell ref="A411:I411"/>
    <mergeCell ref="A426:B426"/>
    <mergeCell ref="A427:B427"/>
    <mergeCell ref="B404:I404"/>
    <mergeCell ref="B405:I405"/>
    <mergeCell ref="A407:I407"/>
    <mergeCell ref="A408:I408"/>
    <mergeCell ref="B382:I382"/>
    <mergeCell ref="B383:I383"/>
    <mergeCell ref="B384:I384"/>
    <mergeCell ref="B385:I385"/>
    <mergeCell ref="A392:B392"/>
    <mergeCell ref="B393:I393"/>
    <mergeCell ref="B394:I394"/>
    <mergeCell ref="B395:I395"/>
    <mergeCell ref="B344:I344"/>
    <mergeCell ref="B345:I345"/>
    <mergeCell ref="B346:I346"/>
    <mergeCell ref="B347:I347"/>
    <mergeCell ref="A343:I343"/>
    <mergeCell ref="A325:I325"/>
    <mergeCell ref="B326:I326"/>
    <mergeCell ref="B327:I327"/>
    <mergeCell ref="B328:I328"/>
    <mergeCell ref="B329:I329"/>
    <mergeCell ref="B330:I330"/>
    <mergeCell ref="A333:B333"/>
    <mergeCell ref="A334:I334"/>
    <mergeCell ref="B335:I335"/>
    <mergeCell ref="B336:I336"/>
    <mergeCell ref="A285:I285"/>
    <mergeCell ref="B286:I286"/>
    <mergeCell ref="B287:I287"/>
    <mergeCell ref="B288:I288"/>
    <mergeCell ref="B289:I289"/>
    <mergeCell ref="B337:I337"/>
    <mergeCell ref="B338:I338"/>
    <mergeCell ref="A293:I293"/>
    <mergeCell ref="A342:B342"/>
    <mergeCell ref="A251:B251"/>
    <mergeCell ref="A252:I252"/>
    <mergeCell ref="B253:I253"/>
    <mergeCell ref="B254:I254"/>
    <mergeCell ref="B255:I255"/>
    <mergeCell ref="A324:B324"/>
    <mergeCell ref="B256:I256"/>
    <mergeCell ref="B257:I257"/>
    <mergeCell ref="A263:B263"/>
    <mergeCell ref="A273:I273"/>
    <mergeCell ref="A264:I264"/>
    <mergeCell ref="B265:I265"/>
    <mergeCell ref="B266:I266"/>
    <mergeCell ref="B267:I267"/>
    <mergeCell ref="B268:I268"/>
    <mergeCell ref="B269:I269"/>
    <mergeCell ref="A272:B272"/>
    <mergeCell ref="B274:I274"/>
    <mergeCell ref="B275:I275"/>
    <mergeCell ref="B276:I276"/>
    <mergeCell ref="B277:I277"/>
    <mergeCell ref="B278:I278"/>
    <mergeCell ref="B290:I290"/>
    <mergeCell ref="A284:B284"/>
    <mergeCell ref="B195:I195"/>
    <mergeCell ref="B144:I144"/>
    <mergeCell ref="B145:I145"/>
    <mergeCell ref="B146:I146"/>
    <mergeCell ref="B147:I147"/>
    <mergeCell ref="A149:I149"/>
    <mergeCell ref="A156:I156"/>
    <mergeCell ref="C168:C175"/>
    <mergeCell ref="D168:D175"/>
    <mergeCell ref="E168:E175"/>
    <mergeCell ref="F168:F175"/>
    <mergeCell ref="G168:G175"/>
    <mergeCell ref="H168:H175"/>
    <mergeCell ref="I168:I175"/>
    <mergeCell ref="C177:C191"/>
    <mergeCell ref="D177:D191"/>
    <mergeCell ref="E177:E191"/>
    <mergeCell ref="F177:F191"/>
    <mergeCell ref="G177:G191"/>
    <mergeCell ref="H177:H191"/>
    <mergeCell ref="I177:I191"/>
    <mergeCell ref="A163:H163"/>
    <mergeCell ref="A167:H167"/>
    <mergeCell ref="A176:H176"/>
    <mergeCell ref="B127:I127"/>
    <mergeCell ref="B117:I117"/>
    <mergeCell ref="B118:I118"/>
    <mergeCell ref="B119:I119"/>
    <mergeCell ref="A142:I142"/>
    <mergeCell ref="B143:I143"/>
    <mergeCell ref="B128:I128"/>
    <mergeCell ref="B129:I129"/>
    <mergeCell ref="A141:B141"/>
    <mergeCell ref="B115:I115"/>
    <mergeCell ref="B116:I116"/>
    <mergeCell ref="B125:I125"/>
    <mergeCell ref="B104:I104"/>
    <mergeCell ref="B105:I105"/>
    <mergeCell ref="B106:I106"/>
    <mergeCell ref="A113:B113"/>
    <mergeCell ref="A114:I114"/>
    <mergeCell ref="B126:I126"/>
    <mergeCell ref="B93:I93"/>
    <mergeCell ref="B94:I94"/>
    <mergeCell ref="B95:I95"/>
    <mergeCell ref="B96:I96"/>
    <mergeCell ref="B102:I102"/>
    <mergeCell ref="B103:I103"/>
    <mergeCell ref="A41:I41"/>
    <mergeCell ref="B83:I83"/>
    <mergeCell ref="B84:I84"/>
    <mergeCell ref="B85:I85"/>
    <mergeCell ref="B86:I86"/>
    <mergeCell ref="B87:I87"/>
    <mergeCell ref="B92:I92"/>
    <mergeCell ref="B61:I61"/>
    <mergeCell ref="B76:I76"/>
    <mergeCell ref="B77:I77"/>
    <mergeCell ref="B78:I78"/>
    <mergeCell ref="B79:I79"/>
    <mergeCell ref="B80:I80"/>
    <mergeCell ref="B45:I45"/>
    <mergeCell ref="B46:I46"/>
    <mergeCell ref="B57:I57"/>
    <mergeCell ref="B58:I58"/>
    <mergeCell ref="B59:I59"/>
    <mergeCell ref="A1:I1"/>
    <mergeCell ref="A2:I2"/>
    <mergeCell ref="A10:B10"/>
    <mergeCell ref="B5:I5"/>
    <mergeCell ref="A11:I11"/>
    <mergeCell ref="B12:I12"/>
    <mergeCell ref="B13:I13"/>
    <mergeCell ref="B14:I14"/>
    <mergeCell ref="B15:I15"/>
    <mergeCell ref="B4:I4"/>
    <mergeCell ref="B6:I6"/>
    <mergeCell ref="B3:I3"/>
    <mergeCell ref="B16:I16"/>
    <mergeCell ref="B25:I25"/>
    <mergeCell ref="A19:B19"/>
    <mergeCell ref="A20:I20"/>
    <mergeCell ref="B21:I21"/>
    <mergeCell ref="B22:I22"/>
    <mergeCell ref="B23:I23"/>
    <mergeCell ref="B24:I24"/>
    <mergeCell ref="B60:I60"/>
    <mergeCell ref="B42:I42"/>
    <mergeCell ref="B43:I43"/>
    <mergeCell ref="B44:I44"/>
    <mergeCell ref="A40:B40"/>
    <mergeCell ref="B28:I28"/>
    <mergeCell ref="B29:I29"/>
    <mergeCell ref="B30:I30"/>
    <mergeCell ref="B31:I31"/>
    <mergeCell ref="B32:I32"/>
    <mergeCell ref="B211:I211"/>
    <mergeCell ref="B212:I212"/>
    <mergeCell ref="B213:I213"/>
    <mergeCell ref="A217:B217"/>
    <mergeCell ref="B196:I196"/>
    <mergeCell ref="B197:I197"/>
    <mergeCell ref="B198:I198"/>
    <mergeCell ref="A208:B208"/>
    <mergeCell ref="B209:I209"/>
    <mergeCell ref="B210:I210"/>
  </mergeCells>
  <pageMargins left="0.19685039370078741" right="0.19685039370078741" top="0.74803149606299213" bottom="0.74803149606299213" header="0.31496062992125984" footer="0.31496062992125984"/>
  <pageSetup scale="8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02"/>
  <sheetViews>
    <sheetView topLeftCell="M243" zoomScaleNormal="100" workbookViewId="0">
      <selection activeCell="T255" sqref="T255"/>
    </sheetView>
  </sheetViews>
  <sheetFormatPr baseColWidth="10" defaultRowHeight="12.75" x14ac:dyDescent="0.25"/>
  <cols>
    <col min="1" max="1" width="40.42578125" style="50" customWidth="1"/>
    <col min="2" max="2" width="15.42578125" style="25" customWidth="1"/>
    <col min="3" max="3" width="19.5703125" style="348" customWidth="1"/>
    <col min="4" max="4" width="21.28515625" style="348" customWidth="1"/>
    <col min="5" max="5" width="19.140625" style="348" customWidth="1"/>
    <col min="6" max="6" width="20.85546875" style="348" customWidth="1"/>
    <col min="7" max="7" width="20" style="348" customWidth="1"/>
    <col min="8" max="8" width="17.85546875" style="348" customWidth="1"/>
    <col min="9" max="9" width="19.140625" style="348" customWidth="1"/>
    <col min="10" max="10" width="15.85546875" style="348" customWidth="1"/>
    <col min="11" max="12" width="17.140625" style="348" customWidth="1"/>
    <col min="13" max="13" width="17.28515625" style="349" customWidth="1"/>
    <col min="14" max="14" width="18.140625" style="72" bestFit="1" customWidth="1"/>
    <col min="15" max="15" width="15.28515625" style="73" customWidth="1"/>
    <col min="16" max="16" width="21.5703125" style="74" customWidth="1"/>
    <col min="17" max="17" width="23.7109375" style="50" customWidth="1"/>
    <col min="18" max="18" width="36.42578125" style="111" customWidth="1"/>
    <col min="19" max="19" width="18.5703125" style="50" customWidth="1"/>
    <col min="20" max="20" width="16.85546875" style="338" customWidth="1"/>
    <col min="21" max="23" width="17.5703125" style="338" customWidth="1"/>
    <col min="24" max="16384" width="11.42578125" style="50"/>
  </cols>
  <sheetData>
    <row r="1" spans="1:40" ht="24.75" customHeight="1" x14ac:dyDescent="0.25">
      <c r="A1" s="856" t="s">
        <v>610</v>
      </c>
      <c r="B1" s="857"/>
      <c r="C1" s="857"/>
      <c r="D1" s="857"/>
      <c r="E1" s="857"/>
      <c r="F1" s="857"/>
      <c r="G1" s="857"/>
      <c r="H1" s="857"/>
      <c r="I1" s="857"/>
      <c r="J1" s="857"/>
      <c r="K1" s="857"/>
      <c r="L1" s="857"/>
      <c r="M1" s="857"/>
      <c r="N1" s="857"/>
      <c r="O1" s="857"/>
      <c r="P1" s="857"/>
      <c r="Q1" s="857"/>
      <c r="R1" s="858"/>
      <c r="T1" s="50"/>
      <c r="U1" s="50"/>
      <c r="V1" s="50"/>
      <c r="W1" s="50"/>
    </row>
    <row r="2" spans="1:40" x14ac:dyDescent="0.25">
      <c r="A2" s="859"/>
      <c r="B2" s="860"/>
      <c r="C2" s="860"/>
      <c r="D2" s="860"/>
      <c r="E2" s="860"/>
      <c r="F2" s="860"/>
      <c r="G2" s="860"/>
      <c r="H2" s="860"/>
      <c r="I2" s="860"/>
      <c r="J2" s="860"/>
      <c r="K2" s="860"/>
      <c r="L2" s="860"/>
      <c r="M2" s="860"/>
      <c r="N2" s="860"/>
      <c r="O2" s="860"/>
      <c r="P2" s="860"/>
      <c r="Q2" s="860"/>
      <c r="R2" s="861"/>
      <c r="T2" s="50"/>
      <c r="U2" s="50"/>
      <c r="V2" s="50"/>
      <c r="W2" s="50"/>
    </row>
    <row r="3" spans="1:40" x14ac:dyDescent="0.25">
      <c r="A3" s="21" t="s">
        <v>1</v>
      </c>
      <c r="B3" s="320" t="s">
        <v>2</v>
      </c>
      <c r="C3" s="326"/>
      <c r="D3" s="326"/>
      <c r="E3" s="326"/>
      <c r="F3" s="326"/>
      <c r="G3" s="326"/>
      <c r="H3" s="326"/>
      <c r="I3" s="326"/>
      <c r="J3" s="326"/>
      <c r="K3" s="326"/>
      <c r="L3" s="326"/>
      <c r="M3" s="321"/>
      <c r="N3" s="321"/>
      <c r="O3" s="321"/>
      <c r="P3" s="321"/>
      <c r="Q3" s="321"/>
      <c r="R3" s="322"/>
      <c r="T3" s="50"/>
      <c r="U3" s="50"/>
      <c r="V3" s="50"/>
      <c r="W3" s="50"/>
    </row>
    <row r="4" spans="1:40" x14ac:dyDescent="0.25">
      <c r="A4" s="327" t="s">
        <v>3</v>
      </c>
      <c r="B4" s="328" t="s">
        <v>4</v>
      </c>
      <c r="C4" s="329"/>
      <c r="D4" s="329"/>
      <c r="E4" s="329"/>
      <c r="F4" s="329"/>
      <c r="G4" s="329"/>
      <c r="H4" s="329"/>
      <c r="I4" s="329"/>
      <c r="J4" s="329"/>
      <c r="K4" s="329"/>
      <c r="L4" s="329"/>
      <c r="M4" s="330"/>
      <c r="N4" s="330"/>
      <c r="O4" s="330"/>
      <c r="P4" s="330"/>
      <c r="Q4" s="330"/>
      <c r="R4" s="331"/>
      <c r="T4" s="50"/>
      <c r="U4" s="50"/>
      <c r="V4" s="50"/>
      <c r="W4" s="50"/>
    </row>
    <row r="5" spans="1:40" s="55" customFormat="1" ht="12.75" customHeight="1" x14ac:dyDescent="0.25">
      <c r="A5" s="332" t="s">
        <v>5</v>
      </c>
      <c r="B5" s="862" t="s">
        <v>319</v>
      </c>
      <c r="C5" s="863"/>
      <c r="D5" s="863"/>
      <c r="E5" s="863"/>
      <c r="F5" s="863"/>
      <c r="G5" s="863"/>
      <c r="H5" s="863"/>
      <c r="I5" s="863"/>
      <c r="J5" s="863"/>
      <c r="K5" s="863"/>
      <c r="L5" s="863"/>
      <c r="M5" s="863"/>
      <c r="N5" s="863"/>
      <c r="O5" s="863"/>
      <c r="P5" s="863"/>
      <c r="Q5" s="863"/>
      <c r="R5" s="864"/>
      <c r="S5" s="248"/>
      <c r="T5" s="248"/>
      <c r="U5" s="248"/>
      <c r="V5" s="248"/>
      <c r="W5" s="248"/>
      <c r="X5" s="248"/>
      <c r="Y5" s="248"/>
      <c r="Z5" s="248"/>
      <c r="AA5" s="248"/>
      <c r="AB5" s="248"/>
      <c r="AC5" s="248"/>
      <c r="AD5" s="248"/>
      <c r="AE5" s="248"/>
      <c r="AF5" s="248"/>
      <c r="AG5" s="248"/>
      <c r="AH5" s="248"/>
      <c r="AI5" s="248"/>
      <c r="AJ5" s="248"/>
      <c r="AK5" s="248"/>
      <c r="AL5" s="248"/>
      <c r="AM5" s="248"/>
      <c r="AN5" s="248"/>
    </row>
    <row r="6" spans="1:40" x14ac:dyDescent="0.25">
      <c r="A6" s="333" t="s">
        <v>6</v>
      </c>
      <c r="B6" s="334" t="s">
        <v>7</v>
      </c>
      <c r="C6" s="335"/>
      <c r="D6" s="335"/>
      <c r="E6" s="335"/>
      <c r="F6" s="335"/>
      <c r="G6" s="335"/>
      <c r="H6" s="335"/>
      <c r="I6" s="335"/>
      <c r="J6" s="335"/>
      <c r="K6" s="335"/>
      <c r="L6" s="335"/>
      <c r="M6" s="336"/>
      <c r="N6" s="336"/>
      <c r="O6" s="336"/>
      <c r="P6" s="336"/>
      <c r="Q6" s="336"/>
      <c r="R6" s="337"/>
      <c r="T6" s="50"/>
      <c r="U6" s="50"/>
      <c r="V6" s="50"/>
      <c r="W6" s="50"/>
    </row>
    <row r="7" spans="1:40" x14ac:dyDescent="0.25">
      <c r="A7" s="21" t="s">
        <v>8</v>
      </c>
      <c r="B7" s="320" t="s">
        <v>9</v>
      </c>
      <c r="C7" s="326"/>
      <c r="D7" s="326"/>
      <c r="E7" s="326"/>
      <c r="F7" s="326"/>
      <c r="G7" s="326"/>
      <c r="H7" s="326"/>
      <c r="I7" s="326"/>
      <c r="J7" s="326"/>
      <c r="K7" s="326"/>
      <c r="L7" s="326"/>
      <c r="M7" s="321"/>
      <c r="N7" s="321"/>
      <c r="O7" s="321"/>
      <c r="P7" s="321"/>
      <c r="Q7" s="321"/>
      <c r="R7" s="322"/>
      <c r="T7" s="50"/>
      <c r="U7" s="50"/>
      <c r="V7" s="50"/>
      <c r="W7" s="50"/>
    </row>
    <row r="8" spans="1:40" ht="24.75" customHeight="1" x14ac:dyDescent="0.25">
      <c r="A8" s="825" t="s">
        <v>10</v>
      </c>
      <c r="B8" s="793" t="s">
        <v>11</v>
      </c>
      <c r="C8" s="813" t="s">
        <v>12</v>
      </c>
      <c r="D8" s="815" t="s">
        <v>361</v>
      </c>
      <c r="E8" s="816"/>
      <c r="F8" s="816"/>
      <c r="G8" s="816"/>
      <c r="H8" s="816"/>
      <c r="I8" s="816"/>
      <c r="J8" s="816"/>
      <c r="K8" s="816"/>
      <c r="L8" s="817"/>
      <c r="M8" s="818" t="s">
        <v>13</v>
      </c>
      <c r="N8" s="811" t="s">
        <v>14</v>
      </c>
      <c r="O8" s="793" t="s">
        <v>15</v>
      </c>
      <c r="P8" s="795" t="s">
        <v>16</v>
      </c>
      <c r="Q8" s="793" t="s">
        <v>17</v>
      </c>
      <c r="R8" s="797" t="s">
        <v>18</v>
      </c>
      <c r="T8" s="50"/>
      <c r="U8" s="50"/>
      <c r="V8" s="50"/>
      <c r="W8" s="50"/>
    </row>
    <row r="9" spans="1:40" ht="31.5" customHeight="1" x14ac:dyDescent="0.25">
      <c r="A9" s="826"/>
      <c r="B9" s="794"/>
      <c r="C9" s="814"/>
      <c r="D9" s="193" t="s">
        <v>366</v>
      </c>
      <c r="E9" s="193" t="s">
        <v>362</v>
      </c>
      <c r="F9" s="193" t="s">
        <v>355</v>
      </c>
      <c r="G9" s="193" t="s">
        <v>357</v>
      </c>
      <c r="H9" s="193" t="s">
        <v>352</v>
      </c>
      <c r="I9" s="193" t="s">
        <v>354</v>
      </c>
      <c r="J9" s="193" t="s">
        <v>353</v>
      </c>
      <c r="K9" s="193" t="s">
        <v>356</v>
      </c>
      <c r="L9" s="193" t="s">
        <v>359</v>
      </c>
      <c r="M9" s="819"/>
      <c r="N9" s="812"/>
      <c r="O9" s="794"/>
      <c r="P9" s="796"/>
      <c r="Q9" s="794"/>
      <c r="R9" s="798"/>
      <c r="T9" s="50"/>
      <c r="U9" s="50"/>
      <c r="V9" s="50"/>
      <c r="W9" s="50"/>
    </row>
    <row r="10" spans="1:40" ht="33" customHeight="1" x14ac:dyDescent="0.25">
      <c r="A10" s="14" t="s">
        <v>71</v>
      </c>
      <c r="B10" s="8">
        <v>2</v>
      </c>
      <c r="C10" s="242">
        <v>116371672</v>
      </c>
      <c r="D10" s="239">
        <v>0</v>
      </c>
      <c r="E10" s="239">
        <v>0</v>
      </c>
      <c r="F10" s="239">
        <v>0</v>
      </c>
      <c r="G10" s="239">
        <v>0</v>
      </c>
      <c r="H10" s="239">
        <v>0</v>
      </c>
      <c r="I10" s="239">
        <v>0</v>
      </c>
      <c r="J10" s="239">
        <v>0</v>
      </c>
      <c r="K10" s="240">
        <f>J10+I10+H10+G10+F10+E10+D10</f>
        <v>0</v>
      </c>
      <c r="L10" s="240">
        <f>C10-K10</f>
        <v>116371672</v>
      </c>
      <c r="M10" s="15"/>
      <c r="N10" s="10">
        <f>C10-M10</f>
        <v>116371672</v>
      </c>
      <c r="O10" s="11">
        <f>N10/C10</f>
        <v>1</v>
      </c>
      <c r="P10" s="294"/>
      <c r="Q10" s="3"/>
      <c r="R10" s="103"/>
      <c r="T10" s="50"/>
      <c r="U10" s="50"/>
      <c r="V10" s="50"/>
      <c r="W10" s="50"/>
    </row>
    <row r="11" spans="1:40" ht="24.75" customHeight="1" x14ac:dyDescent="0.25">
      <c r="A11" s="851" t="s">
        <v>320</v>
      </c>
      <c r="B11" s="852"/>
      <c r="C11" s="195">
        <f>C10</f>
        <v>116371672</v>
      </c>
      <c r="D11" s="195"/>
      <c r="E11" s="195"/>
      <c r="F11" s="195"/>
      <c r="G11" s="195"/>
      <c r="H11" s="195"/>
      <c r="I11" s="195"/>
      <c r="J11" s="195"/>
      <c r="K11" s="195">
        <f>K10</f>
        <v>0</v>
      </c>
      <c r="L11" s="195">
        <f>L10</f>
        <v>116371672</v>
      </c>
      <c r="M11" s="16">
        <f>M10</f>
        <v>0</v>
      </c>
      <c r="N11" s="16">
        <f>N10</f>
        <v>116371672</v>
      </c>
      <c r="O11" s="18">
        <f>N11/C11</f>
        <v>1</v>
      </c>
      <c r="P11" s="19"/>
      <c r="Q11" s="20"/>
      <c r="R11" s="105"/>
      <c r="T11" s="50"/>
      <c r="U11" s="50"/>
      <c r="V11" s="50"/>
      <c r="W11" s="50"/>
    </row>
    <row r="12" spans="1:40" ht="24.75" customHeight="1" x14ac:dyDescent="0.25">
      <c r="A12" s="859" t="s">
        <v>21</v>
      </c>
      <c r="B12" s="860"/>
      <c r="C12" s="860"/>
      <c r="D12" s="860"/>
      <c r="E12" s="860"/>
      <c r="F12" s="860"/>
      <c r="G12" s="860"/>
      <c r="H12" s="860"/>
      <c r="I12" s="860"/>
      <c r="J12" s="860"/>
      <c r="K12" s="860"/>
      <c r="L12" s="860"/>
      <c r="M12" s="860"/>
      <c r="N12" s="860"/>
      <c r="O12" s="860"/>
      <c r="P12" s="860"/>
      <c r="Q12" s="860"/>
      <c r="R12" s="861"/>
      <c r="T12" s="50"/>
      <c r="U12" s="50"/>
      <c r="V12" s="50"/>
      <c r="W12" s="50"/>
    </row>
    <row r="13" spans="1:40" ht="15.75" customHeight="1" x14ac:dyDescent="0.25">
      <c r="A13" s="21" t="s">
        <v>25</v>
      </c>
      <c r="B13" s="799" t="s">
        <v>26</v>
      </c>
      <c r="C13" s="799"/>
      <c r="D13" s="799"/>
      <c r="E13" s="799"/>
      <c r="F13" s="799"/>
      <c r="G13" s="799"/>
      <c r="H13" s="799"/>
      <c r="I13" s="799"/>
      <c r="J13" s="799"/>
      <c r="K13" s="799"/>
      <c r="L13" s="799"/>
      <c r="M13" s="799"/>
      <c r="N13" s="799"/>
      <c r="O13" s="799"/>
      <c r="P13" s="799"/>
      <c r="Q13" s="799"/>
      <c r="R13" s="800"/>
      <c r="T13" s="50"/>
      <c r="U13" s="50"/>
      <c r="V13" s="50"/>
      <c r="W13" s="50"/>
    </row>
    <row r="14" spans="1:40" ht="12.75" hidden="1" customHeight="1" x14ac:dyDescent="0.25">
      <c r="A14" s="21" t="s">
        <v>3</v>
      </c>
      <c r="B14" s="799" t="s">
        <v>27</v>
      </c>
      <c r="C14" s="799"/>
      <c r="D14" s="799"/>
      <c r="E14" s="799"/>
      <c r="F14" s="799"/>
      <c r="G14" s="799"/>
      <c r="H14" s="799"/>
      <c r="I14" s="799"/>
      <c r="J14" s="799"/>
      <c r="K14" s="799"/>
      <c r="L14" s="799"/>
      <c r="M14" s="799"/>
      <c r="N14" s="799"/>
      <c r="O14" s="799"/>
      <c r="P14" s="799"/>
      <c r="Q14" s="799"/>
      <c r="R14" s="800"/>
      <c r="T14" s="50"/>
      <c r="U14" s="50"/>
      <c r="V14" s="50"/>
      <c r="W14" s="50"/>
    </row>
    <row r="15" spans="1:40" ht="12.75" hidden="1" customHeight="1" x14ac:dyDescent="0.25">
      <c r="A15" s="21" t="s">
        <v>5</v>
      </c>
      <c r="B15" s="809" t="s">
        <v>28</v>
      </c>
      <c r="C15" s="809"/>
      <c r="D15" s="809"/>
      <c r="E15" s="809"/>
      <c r="F15" s="809"/>
      <c r="G15" s="809"/>
      <c r="H15" s="809"/>
      <c r="I15" s="809"/>
      <c r="J15" s="809"/>
      <c r="K15" s="809"/>
      <c r="L15" s="809"/>
      <c r="M15" s="809"/>
      <c r="N15" s="809"/>
      <c r="O15" s="809"/>
      <c r="P15" s="809"/>
      <c r="Q15" s="809"/>
      <c r="R15" s="810"/>
      <c r="T15" s="50"/>
      <c r="U15" s="50"/>
      <c r="V15" s="50"/>
      <c r="W15" s="50"/>
    </row>
    <row r="16" spans="1:40" ht="12.75" hidden="1" customHeight="1" x14ac:dyDescent="0.25">
      <c r="A16" s="21" t="s">
        <v>6</v>
      </c>
      <c r="B16" s="799" t="s">
        <v>7</v>
      </c>
      <c r="C16" s="799"/>
      <c r="D16" s="799"/>
      <c r="E16" s="799"/>
      <c r="F16" s="799"/>
      <c r="G16" s="799"/>
      <c r="H16" s="799"/>
      <c r="I16" s="799"/>
      <c r="J16" s="799"/>
      <c r="K16" s="799"/>
      <c r="L16" s="799"/>
      <c r="M16" s="799"/>
      <c r="N16" s="799"/>
      <c r="O16" s="799"/>
      <c r="P16" s="799"/>
      <c r="Q16" s="799"/>
      <c r="R16" s="800"/>
      <c r="T16" s="50"/>
      <c r="U16" s="50"/>
      <c r="V16" s="50"/>
      <c r="W16" s="50"/>
    </row>
    <row r="17" spans="1:23" ht="12.75" hidden="1" customHeight="1" x14ac:dyDescent="0.25">
      <c r="A17" s="21" t="s">
        <v>8</v>
      </c>
      <c r="B17" s="799" t="s">
        <v>21</v>
      </c>
      <c r="C17" s="799"/>
      <c r="D17" s="799"/>
      <c r="E17" s="799"/>
      <c r="F17" s="799"/>
      <c r="G17" s="799"/>
      <c r="H17" s="799"/>
      <c r="I17" s="799"/>
      <c r="J17" s="799"/>
      <c r="K17" s="799"/>
      <c r="L17" s="799"/>
      <c r="M17" s="799"/>
      <c r="N17" s="799"/>
      <c r="O17" s="799"/>
      <c r="P17" s="799"/>
      <c r="Q17" s="799"/>
      <c r="R17" s="800"/>
      <c r="T17" s="50"/>
      <c r="U17" s="50"/>
      <c r="V17" s="50"/>
      <c r="W17" s="50"/>
    </row>
    <row r="18" spans="1:23" ht="12.75" hidden="1" customHeight="1" x14ac:dyDescent="0.25">
      <c r="A18" s="296" t="s">
        <v>10</v>
      </c>
      <c r="B18" s="3" t="s">
        <v>11</v>
      </c>
      <c r="C18" s="193" t="s">
        <v>12</v>
      </c>
      <c r="D18" s="193"/>
      <c r="E18" s="193"/>
      <c r="F18" s="193"/>
      <c r="G18" s="193"/>
      <c r="H18" s="193"/>
      <c r="I18" s="193"/>
      <c r="J18" s="193"/>
      <c r="K18" s="193"/>
      <c r="L18" s="193"/>
      <c r="M18" s="4" t="s">
        <v>13</v>
      </c>
      <c r="N18" s="5" t="s">
        <v>14</v>
      </c>
      <c r="O18" s="3" t="s">
        <v>15</v>
      </c>
      <c r="P18" s="6" t="s">
        <v>16</v>
      </c>
      <c r="Q18" s="3" t="s">
        <v>17</v>
      </c>
      <c r="R18" s="103" t="s">
        <v>18</v>
      </c>
      <c r="T18" s="50"/>
      <c r="U18" s="50"/>
      <c r="V18" s="50"/>
      <c r="W18" s="50"/>
    </row>
    <row r="19" spans="1:23" ht="38.25" hidden="1" x14ac:dyDescent="0.25">
      <c r="A19" s="296" t="s">
        <v>10</v>
      </c>
      <c r="B19" s="3" t="s">
        <v>11</v>
      </c>
      <c r="C19" s="193" t="s">
        <v>12</v>
      </c>
      <c r="D19" s="193"/>
      <c r="E19" s="193"/>
      <c r="F19" s="193"/>
      <c r="G19" s="193"/>
      <c r="H19" s="193"/>
      <c r="I19" s="193"/>
      <c r="J19" s="193"/>
      <c r="K19" s="193"/>
      <c r="L19" s="193"/>
      <c r="M19" s="4" t="s">
        <v>13</v>
      </c>
      <c r="N19" s="5" t="s">
        <v>14</v>
      </c>
      <c r="O19" s="3" t="s">
        <v>15</v>
      </c>
      <c r="P19" s="6" t="s">
        <v>16</v>
      </c>
      <c r="Q19" s="3" t="s">
        <v>17</v>
      </c>
      <c r="R19" s="103" t="s">
        <v>18</v>
      </c>
      <c r="T19" s="50"/>
      <c r="U19" s="50"/>
      <c r="V19" s="50"/>
      <c r="W19" s="50"/>
    </row>
    <row r="20" spans="1:23" hidden="1" x14ac:dyDescent="0.25">
      <c r="A20" s="865" t="s">
        <v>19</v>
      </c>
      <c r="B20" s="8"/>
      <c r="C20" s="196">
        <v>0</v>
      </c>
      <c r="D20" s="196"/>
      <c r="E20" s="196"/>
      <c r="F20" s="196"/>
      <c r="G20" s="196"/>
      <c r="H20" s="196"/>
      <c r="I20" s="196"/>
      <c r="J20" s="196"/>
      <c r="K20" s="196"/>
      <c r="L20" s="196"/>
      <c r="M20" s="15">
        <v>0</v>
      </c>
      <c r="N20" s="10">
        <f>C20-M20</f>
        <v>0</v>
      </c>
      <c r="O20" s="11" t="e">
        <f>N20/C20</f>
        <v>#DIV/0!</v>
      </c>
      <c r="P20" s="12"/>
      <c r="Q20" s="13"/>
      <c r="R20" s="104"/>
      <c r="T20" s="50"/>
      <c r="U20" s="50"/>
      <c r="V20" s="50"/>
      <c r="W20" s="50"/>
    </row>
    <row r="21" spans="1:23" hidden="1" x14ac:dyDescent="0.25">
      <c r="A21" s="865"/>
      <c r="B21" s="8"/>
      <c r="C21" s="196">
        <v>0</v>
      </c>
      <c r="D21" s="196"/>
      <c r="E21" s="196"/>
      <c r="F21" s="196"/>
      <c r="G21" s="196"/>
      <c r="H21" s="196"/>
      <c r="I21" s="196"/>
      <c r="J21" s="196"/>
      <c r="K21" s="196"/>
      <c r="L21" s="196"/>
      <c r="M21" s="15">
        <v>0</v>
      </c>
      <c r="N21" s="10">
        <f>C21-M21</f>
        <v>0</v>
      </c>
      <c r="O21" s="11" t="e">
        <f>N21/C21</f>
        <v>#DIV/0!</v>
      </c>
      <c r="P21" s="12"/>
      <c r="Q21" s="13"/>
      <c r="R21" s="104"/>
      <c r="T21" s="50"/>
      <c r="U21" s="50"/>
      <c r="V21" s="50"/>
      <c r="W21" s="50"/>
    </row>
    <row r="22" spans="1:23" ht="18.75" customHeight="1" x14ac:dyDescent="0.25">
      <c r="A22" s="21" t="s">
        <v>25</v>
      </c>
      <c r="B22" s="799" t="s">
        <v>26</v>
      </c>
      <c r="C22" s="799"/>
      <c r="D22" s="799"/>
      <c r="E22" s="799"/>
      <c r="F22" s="799"/>
      <c r="G22" s="799"/>
      <c r="H22" s="799"/>
      <c r="I22" s="799"/>
      <c r="J22" s="799"/>
      <c r="K22" s="799"/>
      <c r="L22" s="799"/>
      <c r="M22" s="799"/>
      <c r="N22" s="799"/>
      <c r="O22" s="799"/>
      <c r="P22" s="799"/>
      <c r="Q22" s="799"/>
      <c r="R22" s="800"/>
    </row>
    <row r="23" spans="1:23" x14ac:dyDescent="0.25">
      <c r="A23" s="21" t="s">
        <v>3</v>
      </c>
      <c r="B23" s="799" t="s">
        <v>27</v>
      </c>
      <c r="C23" s="799"/>
      <c r="D23" s="799"/>
      <c r="E23" s="799"/>
      <c r="F23" s="799"/>
      <c r="G23" s="799"/>
      <c r="H23" s="799"/>
      <c r="I23" s="799"/>
      <c r="J23" s="799"/>
      <c r="K23" s="799"/>
      <c r="L23" s="799"/>
      <c r="M23" s="799"/>
      <c r="N23" s="799"/>
      <c r="O23" s="799"/>
      <c r="P23" s="799"/>
      <c r="Q23" s="799"/>
      <c r="R23" s="800"/>
    </row>
    <row r="24" spans="1:23" x14ac:dyDescent="0.25">
      <c r="A24" s="21" t="s">
        <v>5</v>
      </c>
      <c r="B24" s="809" t="s">
        <v>28</v>
      </c>
      <c r="C24" s="809"/>
      <c r="D24" s="809"/>
      <c r="E24" s="809"/>
      <c r="F24" s="809"/>
      <c r="G24" s="809"/>
      <c r="H24" s="809"/>
      <c r="I24" s="809"/>
      <c r="J24" s="809"/>
      <c r="K24" s="809"/>
      <c r="L24" s="809"/>
      <c r="M24" s="809"/>
      <c r="N24" s="809"/>
      <c r="O24" s="809"/>
      <c r="P24" s="809"/>
      <c r="Q24" s="809"/>
      <c r="R24" s="810"/>
    </row>
    <row r="25" spans="1:23" x14ac:dyDescent="0.25">
      <c r="A25" s="21" t="s">
        <v>6</v>
      </c>
      <c r="B25" s="799" t="s">
        <v>7</v>
      </c>
      <c r="C25" s="799"/>
      <c r="D25" s="799"/>
      <c r="E25" s="799"/>
      <c r="F25" s="799"/>
      <c r="G25" s="799"/>
      <c r="H25" s="799"/>
      <c r="I25" s="799"/>
      <c r="J25" s="799"/>
      <c r="K25" s="799"/>
      <c r="L25" s="799"/>
      <c r="M25" s="799"/>
      <c r="N25" s="799"/>
      <c r="O25" s="799"/>
      <c r="P25" s="799"/>
      <c r="Q25" s="799"/>
      <c r="R25" s="800"/>
    </row>
    <row r="26" spans="1:23" x14ac:dyDescent="0.25">
      <c r="A26" s="21" t="s">
        <v>8</v>
      </c>
      <c r="B26" s="799" t="s">
        <v>21</v>
      </c>
      <c r="C26" s="799"/>
      <c r="D26" s="799"/>
      <c r="E26" s="799"/>
      <c r="F26" s="799"/>
      <c r="G26" s="799"/>
      <c r="H26" s="799"/>
      <c r="I26" s="799"/>
      <c r="J26" s="799"/>
      <c r="K26" s="799"/>
      <c r="L26" s="799"/>
      <c r="M26" s="799"/>
      <c r="N26" s="799"/>
      <c r="O26" s="799"/>
      <c r="P26" s="799"/>
      <c r="Q26" s="799"/>
      <c r="R26" s="800"/>
    </row>
    <row r="27" spans="1:23" ht="12.75" customHeight="1" x14ac:dyDescent="0.25">
      <c r="A27" s="825" t="s">
        <v>10</v>
      </c>
      <c r="B27" s="793" t="s">
        <v>11</v>
      </c>
      <c r="C27" s="813" t="s">
        <v>12</v>
      </c>
      <c r="D27" s="815" t="s">
        <v>361</v>
      </c>
      <c r="E27" s="816"/>
      <c r="F27" s="816"/>
      <c r="G27" s="816"/>
      <c r="H27" s="816"/>
      <c r="I27" s="816"/>
      <c r="J27" s="816"/>
      <c r="K27" s="816"/>
      <c r="L27" s="817"/>
      <c r="M27" s="818" t="s">
        <v>13</v>
      </c>
      <c r="N27" s="811" t="s">
        <v>14</v>
      </c>
      <c r="O27" s="793" t="s">
        <v>15</v>
      </c>
      <c r="P27" s="795" t="s">
        <v>16</v>
      </c>
      <c r="Q27" s="793" t="s">
        <v>17</v>
      </c>
      <c r="R27" s="797" t="s">
        <v>18</v>
      </c>
    </row>
    <row r="28" spans="1:23" ht="27.75" customHeight="1" x14ac:dyDescent="0.25">
      <c r="A28" s="826"/>
      <c r="B28" s="794"/>
      <c r="C28" s="814"/>
      <c r="D28" s="193" t="s">
        <v>366</v>
      </c>
      <c r="E28" s="193" t="s">
        <v>362</v>
      </c>
      <c r="F28" s="193" t="s">
        <v>355</v>
      </c>
      <c r="G28" s="193" t="s">
        <v>357</v>
      </c>
      <c r="H28" s="193" t="s">
        <v>352</v>
      </c>
      <c r="I28" s="193" t="s">
        <v>354</v>
      </c>
      <c r="J28" s="193" t="s">
        <v>353</v>
      </c>
      <c r="K28" s="193" t="s">
        <v>356</v>
      </c>
      <c r="L28" s="193" t="s">
        <v>359</v>
      </c>
      <c r="M28" s="819"/>
      <c r="N28" s="812"/>
      <c r="O28" s="794"/>
      <c r="P28" s="796"/>
      <c r="Q28" s="794"/>
      <c r="R28" s="798"/>
    </row>
    <row r="29" spans="1:23" ht="21" customHeight="1" x14ac:dyDescent="0.25">
      <c r="A29" s="410" t="s">
        <v>467</v>
      </c>
      <c r="B29" s="8">
        <v>5</v>
      </c>
      <c r="C29" s="242">
        <f>257900702-58185836</f>
        <v>199714866</v>
      </c>
      <c r="D29" s="239">
        <v>0</v>
      </c>
      <c r="E29" s="239">
        <v>0</v>
      </c>
      <c r="F29" s="239">
        <v>0</v>
      </c>
      <c r="G29" s="239">
        <v>0</v>
      </c>
      <c r="H29" s="239">
        <v>0</v>
      </c>
      <c r="I29" s="239">
        <v>0</v>
      </c>
      <c r="J29" s="239">
        <v>0</v>
      </c>
      <c r="K29" s="240">
        <f>J29+I29+H29+G29+F29+E29+D29</f>
        <v>0</v>
      </c>
      <c r="L29" s="240">
        <f>C29-K29</f>
        <v>199714866</v>
      </c>
      <c r="M29" s="15"/>
      <c r="N29" s="10">
        <f>C29-M29</f>
        <v>199714866</v>
      </c>
      <c r="O29" s="11">
        <f>N29/C29</f>
        <v>1</v>
      </c>
      <c r="P29" s="290"/>
      <c r="Q29" s="13"/>
      <c r="R29" s="104"/>
    </row>
    <row r="30" spans="1:23" ht="21" customHeight="1" x14ac:dyDescent="0.25">
      <c r="A30" s="119" t="s">
        <v>212</v>
      </c>
      <c r="B30" s="8">
        <v>7</v>
      </c>
      <c r="C30" s="242">
        <v>377409417</v>
      </c>
      <c r="D30" s="239">
        <v>0</v>
      </c>
      <c r="E30" s="239">
        <v>0</v>
      </c>
      <c r="F30" s="239">
        <v>0</v>
      </c>
      <c r="G30" s="239">
        <v>0</v>
      </c>
      <c r="H30" s="239">
        <v>0</v>
      </c>
      <c r="I30" s="239">
        <v>0</v>
      </c>
      <c r="J30" s="239">
        <v>0</v>
      </c>
      <c r="K30" s="240">
        <f>J30+I30+H30+G30+F30+E30+D30</f>
        <v>0</v>
      </c>
      <c r="L30" s="240">
        <f>C30-K30</f>
        <v>377409417</v>
      </c>
      <c r="M30" s="15"/>
      <c r="N30" s="10">
        <f>C30-M30</f>
        <v>377409417</v>
      </c>
      <c r="O30" s="11">
        <f>N30/C30</f>
        <v>1</v>
      </c>
      <c r="P30" s="380"/>
      <c r="Q30" s="13"/>
      <c r="R30" s="104"/>
      <c r="T30" s="50"/>
      <c r="U30" s="50"/>
      <c r="V30" s="50"/>
      <c r="W30" s="50"/>
    </row>
    <row r="31" spans="1:23" x14ac:dyDescent="0.25">
      <c r="A31" s="851" t="s">
        <v>219</v>
      </c>
      <c r="B31" s="852"/>
      <c r="C31" s="195">
        <f>SUM(C20:C30)</f>
        <v>577124283</v>
      </c>
      <c r="D31" s="195"/>
      <c r="E31" s="195"/>
      <c r="F31" s="195"/>
      <c r="G31" s="195"/>
      <c r="H31" s="195"/>
      <c r="I31" s="195"/>
      <c r="J31" s="195"/>
      <c r="K31" s="195">
        <f>SUM(K20:K30)</f>
        <v>0</v>
      </c>
      <c r="L31" s="195">
        <f>SUM(L20:L30)</f>
        <v>577124283</v>
      </c>
      <c r="M31" s="16">
        <f>SUM(M20:M30)</f>
        <v>0</v>
      </c>
      <c r="N31" s="16">
        <f>SUM(N20:N30)</f>
        <v>577124283</v>
      </c>
      <c r="O31" s="18">
        <f>N31/C31</f>
        <v>1</v>
      </c>
      <c r="P31" s="19"/>
      <c r="Q31" s="20"/>
      <c r="R31" s="105"/>
      <c r="T31" s="50"/>
      <c r="U31" s="50"/>
      <c r="V31" s="50"/>
      <c r="W31" s="50"/>
    </row>
    <row r="32" spans="1:23" x14ac:dyDescent="0.25">
      <c r="A32" s="845" t="s">
        <v>29</v>
      </c>
      <c r="B32" s="846"/>
      <c r="C32" s="846"/>
      <c r="D32" s="846"/>
      <c r="E32" s="846"/>
      <c r="F32" s="846"/>
      <c r="G32" s="846"/>
      <c r="H32" s="846"/>
      <c r="I32" s="846"/>
      <c r="J32" s="846"/>
      <c r="K32" s="846"/>
      <c r="L32" s="846"/>
      <c r="M32" s="846"/>
      <c r="N32" s="846"/>
      <c r="O32" s="846"/>
      <c r="P32" s="846"/>
      <c r="Q32" s="846"/>
      <c r="R32" s="847"/>
      <c r="T32" s="50"/>
      <c r="U32" s="50"/>
      <c r="V32" s="50"/>
      <c r="W32" s="50"/>
    </row>
    <row r="33" spans="1:23" x14ac:dyDescent="0.25">
      <c r="A33" s="21" t="s">
        <v>1</v>
      </c>
      <c r="B33" s="842" t="s">
        <v>45</v>
      </c>
      <c r="C33" s="843"/>
      <c r="D33" s="843"/>
      <c r="E33" s="843"/>
      <c r="F33" s="843"/>
      <c r="G33" s="843"/>
      <c r="H33" s="843"/>
      <c r="I33" s="843"/>
      <c r="J33" s="843"/>
      <c r="K33" s="843"/>
      <c r="L33" s="843"/>
      <c r="M33" s="843"/>
      <c r="N33" s="843"/>
      <c r="O33" s="843"/>
      <c r="P33" s="843"/>
      <c r="Q33" s="843"/>
      <c r="R33" s="844"/>
      <c r="T33" s="50"/>
      <c r="U33" s="50"/>
      <c r="V33" s="50"/>
      <c r="W33" s="50"/>
    </row>
    <row r="34" spans="1:23" x14ac:dyDescent="0.25">
      <c r="A34" s="21" t="s">
        <v>3</v>
      </c>
      <c r="B34" s="842" t="s">
        <v>4</v>
      </c>
      <c r="C34" s="843"/>
      <c r="D34" s="843"/>
      <c r="E34" s="843"/>
      <c r="F34" s="843"/>
      <c r="G34" s="843"/>
      <c r="H34" s="843"/>
      <c r="I34" s="843"/>
      <c r="J34" s="843"/>
      <c r="K34" s="843"/>
      <c r="L34" s="843"/>
      <c r="M34" s="843"/>
      <c r="N34" s="843"/>
      <c r="O34" s="843"/>
      <c r="P34" s="843"/>
      <c r="Q34" s="843"/>
      <c r="R34" s="844"/>
      <c r="T34" s="50"/>
      <c r="U34" s="50"/>
      <c r="V34" s="50"/>
      <c r="W34" s="50"/>
    </row>
    <row r="35" spans="1:23" x14ac:dyDescent="0.25">
      <c r="A35" s="21" t="s">
        <v>5</v>
      </c>
      <c r="B35" s="842" t="s">
        <v>213</v>
      </c>
      <c r="C35" s="843"/>
      <c r="D35" s="843"/>
      <c r="E35" s="843"/>
      <c r="F35" s="843"/>
      <c r="G35" s="843"/>
      <c r="H35" s="843"/>
      <c r="I35" s="843"/>
      <c r="J35" s="843"/>
      <c r="K35" s="843"/>
      <c r="L35" s="843"/>
      <c r="M35" s="843"/>
      <c r="N35" s="843"/>
      <c r="O35" s="843"/>
      <c r="P35" s="843"/>
      <c r="Q35" s="843"/>
      <c r="R35" s="844"/>
      <c r="T35" s="50"/>
      <c r="U35" s="50"/>
      <c r="V35" s="50"/>
      <c r="W35" s="50"/>
    </row>
    <row r="36" spans="1:23" x14ac:dyDescent="0.25">
      <c r="A36" s="21" t="s">
        <v>6</v>
      </c>
      <c r="B36" s="842" t="s">
        <v>7</v>
      </c>
      <c r="C36" s="843"/>
      <c r="D36" s="843"/>
      <c r="E36" s="843"/>
      <c r="F36" s="843"/>
      <c r="G36" s="843"/>
      <c r="H36" s="843"/>
      <c r="I36" s="843"/>
      <c r="J36" s="843"/>
      <c r="K36" s="843"/>
      <c r="L36" s="843"/>
      <c r="M36" s="843"/>
      <c r="N36" s="843"/>
      <c r="O36" s="843"/>
      <c r="P36" s="843"/>
      <c r="Q36" s="843"/>
      <c r="R36" s="844"/>
      <c r="T36" s="50"/>
      <c r="U36" s="50"/>
      <c r="V36" s="50"/>
      <c r="W36" s="50"/>
    </row>
    <row r="37" spans="1:23" x14ac:dyDescent="0.25">
      <c r="A37" s="21" t="s">
        <v>8</v>
      </c>
      <c r="B37" s="842" t="s">
        <v>29</v>
      </c>
      <c r="C37" s="843"/>
      <c r="D37" s="843"/>
      <c r="E37" s="843"/>
      <c r="F37" s="843"/>
      <c r="G37" s="843"/>
      <c r="H37" s="843"/>
      <c r="I37" s="843"/>
      <c r="J37" s="843"/>
      <c r="K37" s="843"/>
      <c r="L37" s="843"/>
      <c r="M37" s="843"/>
      <c r="N37" s="843"/>
      <c r="O37" s="843"/>
      <c r="P37" s="843"/>
      <c r="Q37" s="843"/>
      <c r="R37" s="844"/>
      <c r="T37" s="50"/>
      <c r="U37" s="50"/>
      <c r="V37" s="50"/>
      <c r="W37" s="50"/>
    </row>
    <row r="38" spans="1:23" ht="12.75" customHeight="1" x14ac:dyDescent="0.25">
      <c r="A38" s="825" t="s">
        <v>10</v>
      </c>
      <c r="B38" s="793" t="s">
        <v>11</v>
      </c>
      <c r="C38" s="813" t="s">
        <v>12</v>
      </c>
      <c r="D38" s="815" t="s">
        <v>361</v>
      </c>
      <c r="E38" s="816"/>
      <c r="F38" s="816"/>
      <c r="G38" s="816"/>
      <c r="H38" s="816"/>
      <c r="I38" s="816"/>
      <c r="J38" s="816"/>
      <c r="K38" s="816"/>
      <c r="L38" s="817"/>
      <c r="M38" s="818" t="s">
        <v>13</v>
      </c>
      <c r="N38" s="811" t="s">
        <v>14</v>
      </c>
      <c r="O38" s="793" t="s">
        <v>15</v>
      </c>
      <c r="P38" s="795" t="s">
        <v>16</v>
      </c>
      <c r="Q38" s="793" t="s">
        <v>17</v>
      </c>
      <c r="R38" s="797" t="s">
        <v>18</v>
      </c>
      <c r="T38" s="50"/>
      <c r="U38" s="50"/>
      <c r="V38" s="50"/>
      <c r="W38" s="50"/>
    </row>
    <row r="39" spans="1:23" ht="24" customHeight="1" x14ac:dyDescent="0.25">
      <c r="A39" s="826"/>
      <c r="B39" s="794"/>
      <c r="C39" s="814"/>
      <c r="D39" s="193" t="s">
        <v>366</v>
      </c>
      <c r="E39" s="193" t="s">
        <v>362</v>
      </c>
      <c r="F39" s="193" t="s">
        <v>355</v>
      </c>
      <c r="G39" s="193" t="s">
        <v>357</v>
      </c>
      <c r="H39" s="193" t="s">
        <v>352</v>
      </c>
      <c r="I39" s="193" t="s">
        <v>354</v>
      </c>
      <c r="J39" s="193" t="s">
        <v>353</v>
      </c>
      <c r="K39" s="193" t="s">
        <v>356</v>
      </c>
      <c r="L39" s="193" t="s">
        <v>359</v>
      </c>
      <c r="M39" s="819"/>
      <c r="N39" s="812"/>
      <c r="O39" s="794"/>
      <c r="P39" s="796"/>
      <c r="Q39" s="794"/>
      <c r="R39" s="798"/>
      <c r="T39" s="50"/>
      <c r="U39" s="50"/>
      <c r="V39" s="50"/>
      <c r="W39" s="50"/>
    </row>
    <row r="40" spans="1:23" s="55" customFormat="1" x14ac:dyDescent="0.25">
      <c r="A40" s="119" t="s">
        <v>212</v>
      </c>
      <c r="B40" s="286">
        <v>4</v>
      </c>
      <c r="C40" s="242">
        <f>137287129+58185836</f>
        <v>195472965</v>
      </c>
      <c r="D40" s="239">
        <v>0</v>
      </c>
      <c r="E40" s="239">
        <v>0</v>
      </c>
      <c r="F40" s="239">
        <v>0</v>
      </c>
      <c r="G40" s="239">
        <v>0</v>
      </c>
      <c r="H40" s="239">
        <v>0</v>
      </c>
      <c r="I40" s="239">
        <v>0</v>
      </c>
      <c r="J40" s="239">
        <v>0</v>
      </c>
      <c r="K40" s="240">
        <f>J40+I40+H40+G40+F40+E40+D40</f>
        <v>0</v>
      </c>
      <c r="L40" s="240">
        <f>C40-K40</f>
        <v>195472965</v>
      </c>
      <c r="M40" s="15"/>
      <c r="N40" s="10">
        <f>C40-M40</f>
        <v>195472965</v>
      </c>
      <c r="O40" s="11">
        <f>N40/C40</f>
        <v>1</v>
      </c>
      <c r="P40" s="290"/>
      <c r="Q40" s="30"/>
      <c r="R40" s="106"/>
    </row>
    <row r="41" spans="1:23" s="55" customFormat="1" ht="24" x14ac:dyDescent="0.25">
      <c r="A41" s="119" t="s">
        <v>472</v>
      </c>
      <c r="B41" s="286">
        <v>6</v>
      </c>
      <c r="C41" s="242">
        <v>357443558</v>
      </c>
      <c r="D41" s="239">
        <v>0</v>
      </c>
      <c r="E41" s="239">
        <v>0</v>
      </c>
      <c r="F41" s="239">
        <v>0</v>
      </c>
      <c r="G41" s="239">
        <v>0</v>
      </c>
      <c r="H41" s="239">
        <v>0</v>
      </c>
      <c r="I41" s="239">
        <v>0</v>
      </c>
      <c r="J41" s="239">
        <v>0</v>
      </c>
      <c r="K41" s="240">
        <f>J41+I41+H41+G41+F41+E41+D41</f>
        <v>0</v>
      </c>
      <c r="L41" s="240">
        <f>C41-K41</f>
        <v>357443558</v>
      </c>
      <c r="M41" s="15"/>
      <c r="N41" s="10">
        <f>C41-M41</f>
        <v>357443558</v>
      </c>
      <c r="O41" s="11">
        <f>N41/C41</f>
        <v>1</v>
      </c>
      <c r="P41" s="290"/>
      <c r="Q41" s="30"/>
      <c r="R41" s="106"/>
    </row>
    <row r="42" spans="1:23" x14ac:dyDescent="0.25">
      <c r="A42" s="21" t="s">
        <v>1</v>
      </c>
      <c r="B42" s="799" t="s">
        <v>45</v>
      </c>
      <c r="C42" s="799"/>
      <c r="D42" s="799"/>
      <c r="E42" s="799"/>
      <c r="F42" s="799"/>
      <c r="G42" s="799"/>
      <c r="H42" s="799"/>
      <c r="I42" s="799"/>
      <c r="J42" s="799"/>
      <c r="K42" s="799"/>
      <c r="L42" s="799"/>
      <c r="M42" s="799"/>
      <c r="N42" s="799"/>
      <c r="O42" s="799"/>
      <c r="P42" s="799"/>
      <c r="Q42" s="799"/>
      <c r="R42" s="800"/>
    </row>
    <row r="43" spans="1:23" x14ac:dyDescent="0.25">
      <c r="A43" s="21" t="s">
        <v>3</v>
      </c>
      <c r="B43" s="799" t="s">
        <v>4</v>
      </c>
      <c r="C43" s="799"/>
      <c r="D43" s="799"/>
      <c r="E43" s="799"/>
      <c r="F43" s="799"/>
      <c r="G43" s="799"/>
      <c r="H43" s="799"/>
      <c r="I43" s="799"/>
      <c r="J43" s="799"/>
      <c r="K43" s="799"/>
      <c r="L43" s="799"/>
      <c r="M43" s="799"/>
      <c r="N43" s="799"/>
      <c r="O43" s="799"/>
      <c r="P43" s="799"/>
      <c r="Q43" s="799"/>
      <c r="R43" s="800"/>
    </row>
    <row r="44" spans="1:23" x14ac:dyDescent="0.25">
      <c r="A44" s="21" t="s">
        <v>5</v>
      </c>
      <c r="B44" s="799" t="s">
        <v>214</v>
      </c>
      <c r="C44" s="799"/>
      <c r="D44" s="799"/>
      <c r="E44" s="799"/>
      <c r="F44" s="799"/>
      <c r="G44" s="799"/>
      <c r="H44" s="799"/>
      <c r="I44" s="799"/>
      <c r="J44" s="799"/>
      <c r="K44" s="799"/>
      <c r="L44" s="799"/>
      <c r="M44" s="799"/>
      <c r="N44" s="799"/>
      <c r="O44" s="799"/>
      <c r="P44" s="799"/>
      <c r="Q44" s="799"/>
      <c r="R44" s="800"/>
    </row>
    <row r="45" spans="1:23" x14ac:dyDescent="0.25">
      <c r="A45" s="21" t="s">
        <v>6</v>
      </c>
      <c r="B45" s="799" t="s">
        <v>7</v>
      </c>
      <c r="C45" s="799"/>
      <c r="D45" s="799"/>
      <c r="E45" s="799"/>
      <c r="F45" s="799"/>
      <c r="G45" s="799"/>
      <c r="H45" s="799"/>
      <c r="I45" s="799"/>
      <c r="J45" s="799"/>
      <c r="K45" s="799"/>
      <c r="L45" s="799"/>
      <c r="M45" s="799"/>
      <c r="N45" s="799"/>
      <c r="O45" s="799"/>
      <c r="P45" s="799"/>
      <c r="Q45" s="799"/>
      <c r="R45" s="800"/>
    </row>
    <row r="46" spans="1:23" x14ac:dyDescent="0.25">
      <c r="A46" s="21" t="s">
        <v>8</v>
      </c>
      <c r="B46" s="799" t="s">
        <v>29</v>
      </c>
      <c r="C46" s="799"/>
      <c r="D46" s="799"/>
      <c r="E46" s="799"/>
      <c r="F46" s="799"/>
      <c r="G46" s="799"/>
      <c r="H46" s="799"/>
      <c r="I46" s="799"/>
      <c r="J46" s="799"/>
      <c r="K46" s="799"/>
      <c r="L46" s="799"/>
      <c r="M46" s="799"/>
      <c r="N46" s="799"/>
      <c r="O46" s="799"/>
      <c r="P46" s="799"/>
      <c r="Q46" s="799"/>
      <c r="R46" s="800"/>
    </row>
    <row r="47" spans="1:23" ht="12.75" customHeight="1" x14ac:dyDescent="0.25">
      <c r="A47" s="825" t="s">
        <v>10</v>
      </c>
      <c r="B47" s="793" t="s">
        <v>11</v>
      </c>
      <c r="C47" s="813" t="s">
        <v>12</v>
      </c>
      <c r="D47" s="815" t="s">
        <v>361</v>
      </c>
      <c r="E47" s="816"/>
      <c r="F47" s="816"/>
      <c r="G47" s="816"/>
      <c r="H47" s="816"/>
      <c r="I47" s="816"/>
      <c r="J47" s="816"/>
      <c r="K47" s="816"/>
      <c r="L47" s="817"/>
      <c r="M47" s="818" t="s">
        <v>13</v>
      </c>
      <c r="N47" s="811" t="s">
        <v>14</v>
      </c>
      <c r="O47" s="793" t="s">
        <v>15</v>
      </c>
      <c r="P47" s="795" t="s">
        <v>16</v>
      </c>
      <c r="Q47" s="793" t="s">
        <v>17</v>
      </c>
      <c r="R47" s="797" t="s">
        <v>18</v>
      </c>
    </row>
    <row r="48" spans="1:23" ht="26.25" customHeight="1" x14ac:dyDescent="0.25">
      <c r="A48" s="826"/>
      <c r="B48" s="794"/>
      <c r="C48" s="814"/>
      <c r="D48" s="193" t="s">
        <v>366</v>
      </c>
      <c r="E48" s="193" t="s">
        <v>362</v>
      </c>
      <c r="F48" s="193" t="s">
        <v>355</v>
      </c>
      <c r="G48" s="193" t="s">
        <v>357</v>
      </c>
      <c r="H48" s="193" t="s">
        <v>352</v>
      </c>
      <c r="I48" s="193" t="s">
        <v>354</v>
      </c>
      <c r="J48" s="193" t="s">
        <v>353</v>
      </c>
      <c r="K48" s="193" t="s">
        <v>356</v>
      </c>
      <c r="L48" s="193" t="s">
        <v>359</v>
      </c>
      <c r="M48" s="819"/>
      <c r="N48" s="812"/>
      <c r="O48" s="794"/>
      <c r="P48" s="796"/>
      <c r="Q48" s="794"/>
      <c r="R48" s="798"/>
    </row>
    <row r="49" spans="1:23" s="55" customFormat="1" ht="27.75" customHeight="1" x14ac:dyDescent="0.25">
      <c r="A49" s="405" t="s">
        <v>223</v>
      </c>
      <c r="B49" s="411">
        <v>14</v>
      </c>
      <c r="C49" s="406">
        <v>22000000</v>
      </c>
      <c r="D49" s="239">
        <v>0</v>
      </c>
      <c r="E49" s="239">
        <v>0</v>
      </c>
      <c r="F49" s="239">
        <v>0</v>
      </c>
      <c r="G49" s="239">
        <v>0</v>
      </c>
      <c r="H49" s="239">
        <v>0</v>
      </c>
      <c r="I49" s="239">
        <v>0</v>
      </c>
      <c r="J49" s="239">
        <v>0</v>
      </c>
      <c r="K49" s="240">
        <f t="shared" ref="K49:K55" si="0">J49+I49+H49+G49+F49+E49+D49</f>
        <v>0</v>
      </c>
      <c r="L49" s="240">
        <f t="shared" ref="L49:L55" si="1">C49-K49</f>
        <v>22000000</v>
      </c>
      <c r="M49" s="15"/>
      <c r="N49" s="10">
        <f t="shared" ref="N49:N55" si="2">C49-M49</f>
        <v>22000000</v>
      </c>
      <c r="O49" s="11">
        <f t="shared" ref="O49:O55" si="3">N49/C49</f>
        <v>1</v>
      </c>
      <c r="P49" s="293"/>
      <c r="Q49" s="30"/>
      <c r="R49" s="106"/>
      <c r="T49" s="56"/>
      <c r="U49" s="56"/>
      <c r="V49" s="56"/>
      <c r="W49" s="56"/>
    </row>
    <row r="50" spans="1:23" s="55" customFormat="1" ht="27.75" customHeight="1" x14ac:dyDescent="0.25">
      <c r="A50" s="405" t="s">
        <v>469</v>
      </c>
      <c r="B50" s="411">
        <v>11</v>
      </c>
      <c r="C50" s="406">
        <v>2000000</v>
      </c>
      <c r="D50" s="239"/>
      <c r="E50" s="239"/>
      <c r="F50" s="239"/>
      <c r="G50" s="239"/>
      <c r="H50" s="239"/>
      <c r="I50" s="239"/>
      <c r="J50" s="239"/>
      <c r="K50" s="240"/>
      <c r="L50" s="240"/>
      <c r="M50" s="15"/>
      <c r="N50" s="10"/>
      <c r="O50" s="11"/>
      <c r="P50" s="293"/>
      <c r="Q50" s="30"/>
      <c r="R50" s="106"/>
      <c r="T50" s="56"/>
      <c r="U50" s="56"/>
      <c r="V50" s="56"/>
      <c r="W50" s="56"/>
    </row>
    <row r="51" spans="1:23" s="55" customFormat="1" ht="27.75" customHeight="1" x14ac:dyDescent="0.25">
      <c r="A51" s="407" t="s">
        <v>470</v>
      </c>
      <c r="B51" s="411">
        <v>6</v>
      </c>
      <c r="C51" s="406">
        <v>9500000</v>
      </c>
      <c r="D51" s="239"/>
      <c r="E51" s="239"/>
      <c r="F51" s="239"/>
      <c r="G51" s="239"/>
      <c r="H51" s="239"/>
      <c r="I51" s="239"/>
      <c r="J51" s="239"/>
      <c r="K51" s="240"/>
      <c r="L51" s="240"/>
      <c r="M51" s="15"/>
      <c r="N51" s="10"/>
      <c r="O51" s="11"/>
      <c r="P51" s="293"/>
      <c r="Q51" s="30"/>
      <c r="R51" s="106"/>
      <c r="T51" s="56"/>
      <c r="U51" s="56"/>
      <c r="V51" s="56"/>
      <c r="W51" s="56"/>
    </row>
    <row r="52" spans="1:23" s="55" customFormat="1" ht="27.75" customHeight="1" x14ac:dyDescent="0.25">
      <c r="A52" s="408" t="s">
        <v>22</v>
      </c>
      <c r="B52" s="411">
        <v>6</v>
      </c>
      <c r="C52" s="406">
        <v>3000000</v>
      </c>
      <c r="D52" s="239"/>
      <c r="E52" s="239"/>
      <c r="F52" s="239"/>
      <c r="G52" s="239"/>
      <c r="H52" s="239"/>
      <c r="I52" s="239"/>
      <c r="J52" s="239"/>
      <c r="K52" s="240"/>
      <c r="L52" s="240"/>
      <c r="M52" s="15"/>
      <c r="N52" s="10"/>
      <c r="O52" s="11"/>
      <c r="P52" s="293"/>
      <c r="Q52" s="30"/>
      <c r="R52" s="106"/>
      <c r="T52" s="56"/>
      <c r="U52" s="56"/>
      <c r="V52" s="56"/>
      <c r="W52" s="56"/>
    </row>
    <row r="53" spans="1:23" s="55" customFormat="1" ht="27.75" customHeight="1" x14ac:dyDescent="0.25">
      <c r="A53" s="405" t="s">
        <v>23</v>
      </c>
      <c r="B53" s="411" t="s">
        <v>225</v>
      </c>
      <c r="C53" s="406">
        <v>10000000</v>
      </c>
      <c r="D53" s="239"/>
      <c r="E53" s="239"/>
      <c r="F53" s="239"/>
      <c r="G53" s="239"/>
      <c r="H53" s="239"/>
      <c r="I53" s="239"/>
      <c r="J53" s="239"/>
      <c r="K53" s="240"/>
      <c r="L53" s="240"/>
      <c r="M53" s="15"/>
      <c r="N53" s="10"/>
      <c r="O53" s="11"/>
      <c r="P53" s="293"/>
      <c r="Q53" s="30"/>
      <c r="R53" s="106"/>
      <c r="T53" s="56"/>
      <c r="U53" s="56"/>
      <c r="V53" s="56"/>
      <c r="W53" s="56"/>
    </row>
    <row r="54" spans="1:23" s="55" customFormat="1" ht="27.75" customHeight="1" x14ac:dyDescent="0.25">
      <c r="A54" s="405" t="s">
        <v>471</v>
      </c>
      <c r="B54" s="411">
        <v>6</v>
      </c>
      <c r="C54" s="406">
        <v>6000000</v>
      </c>
      <c r="D54" s="239">
        <v>0</v>
      </c>
      <c r="E54" s="239">
        <v>0</v>
      </c>
      <c r="F54" s="239">
        <v>0</v>
      </c>
      <c r="G54" s="239">
        <v>0</v>
      </c>
      <c r="H54" s="239">
        <v>0</v>
      </c>
      <c r="I54" s="239">
        <v>0</v>
      </c>
      <c r="J54" s="239">
        <v>0</v>
      </c>
      <c r="K54" s="240">
        <f t="shared" si="0"/>
        <v>0</v>
      </c>
      <c r="L54" s="240">
        <f t="shared" si="1"/>
        <v>6000000</v>
      </c>
      <c r="M54" s="15"/>
      <c r="N54" s="10">
        <f t="shared" si="2"/>
        <v>6000000</v>
      </c>
      <c r="O54" s="11">
        <f t="shared" si="3"/>
        <v>1</v>
      </c>
      <c r="P54" s="293"/>
      <c r="Q54" s="30"/>
      <c r="R54" s="106"/>
      <c r="T54" s="56"/>
      <c r="U54" s="56"/>
      <c r="V54" s="56"/>
      <c r="W54" s="56"/>
    </row>
    <row r="55" spans="1:23" s="55" customFormat="1" ht="36" customHeight="1" x14ac:dyDescent="0.25">
      <c r="A55" s="412" t="s">
        <v>468</v>
      </c>
      <c r="B55" s="261">
        <v>3</v>
      </c>
      <c r="C55" s="409">
        <v>286493975</v>
      </c>
      <c r="D55" s="239">
        <v>0</v>
      </c>
      <c r="E55" s="239">
        <v>0</v>
      </c>
      <c r="F55" s="239">
        <v>0</v>
      </c>
      <c r="G55" s="239">
        <v>0</v>
      </c>
      <c r="H55" s="239">
        <v>0</v>
      </c>
      <c r="I55" s="239">
        <v>0</v>
      </c>
      <c r="J55" s="239">
        <v>0</v>
      </c>
      <c r="K55" s="240">
        <f t="shared" si="0"/>
        <v>0</v>
      </c>
      <c r="L55" s="240">
        <f t="shared" si="1"/>
        <v>286493975</v>
      </c>
      <c r="M55" s="15"/>
      <c r="N55" s="10">
        <f t="shared" si="2"/>
        <v>286493975</v>
      </c>
      <c r="O55" s="11">
        <f t="shared" si="3"/>
        <v>1</v>
      </c>
      <c r="P55" s="293"/>
      <c r="Q55" s="30"/>
      <c r="R55" s="106"/>
      <c r="T55" s="56"/>
      <c r="U55" s="56"/>
      <c r="V55" s="56"/>
      <c r="W55" s="56"/>
    </row>
    <row r="56" spans="1:23" ht="25.5" customHeight="1" x14ac:dyDescent="0.25">
      <c r="A56" s="851" t="s">
        <v>34</v>
      </c>
      <c r="B56" s="852"/>
      <c r="C56" s="195">
        <f>SUM(C40:C55)</f>
        <v>891910498</v>
      </c>
      <c r="D56" s="238"/>
      <c r="E56" s="238"/>
      <c r="F56" s="238"/>
      <c r="G56" s="238"/>
      <c r="H56" s="238"/>
      <c r="I56" s="238"/>
      <c r="J56" s="238"/>
      <c r="K56" s="195">
        <f>SUM(K40:K55)</f>
        <v>0</v>
      </c>
      <c r="L56" s="195">
        <f>SUM(L40:L55)</f>
        <v>867410498</v>
      </c>
      <c r="M56" s="16">
        <f>SUM(M40:M55)</f>
        <v>0</v>
      </c>
      <c r="N56" s="17">
        <f>C56-M56</f>
        <v>891910498</v>
      </c>
      <c r="O56" s="18">
        <f>N56/C56</f>
        <v>1</v>
      </c>
      <c r="P56" s="19"/>
      <c r="Q56" s="20"/>
      <c r="R56" s="105"/>
    </row>
    <row r="57" spans="1:23" x14ac:dyDescent="0.25">
      <c r="A57" s="845" t="s">
        <v>44</v>
      </c>
      <c r="B57" s="846"/>
      <c r="C57" s="846"/>
      <c r="D57" s="846"/>
      <c r="E57" s="846"/>
      <c r="F57" s="846"/>
      <c r="G57" s="846"/>
      <c r="H57" s="846"/>
      <c r="I57" s="846"/>
      <c r="J57" s="846"/>
      <c r="K57" s="846"/>
      <c r="L57" s="846"/>
      <c r="M57" s="846"/>
      <c r="N57" s="846"/>
      <c r="O57" s="846"/>
      <c r="P57" s="846"/>
      <c r="Q57" s="846"/>
      <c r="R57" s="847"/>
    </row>
    <row r="58" spans="1:23" x14ac:dyDescent="0.25">
      <c r="A58" s="21" t="s">
        <v>1</v>
      </c>
      <c r="B58" s="799" t="s">
        <v>45</v>
      </c>
      <c r="C58" s="799"/>
      <c r="D58" s="799"/>
      <c r="E58" s="799"/>
      <c r="F58" s="799"/>
      <c r="G58" s="799"/>
      <c r="H58" s="799"/>
      <c r="I58" s="799"/>
      <c r="J58" s="799"/>
      <c r="K58" s="799"/>
      <c r="L58" s="799"/>
      <c r="M58" s="799"/>
      <c r="N58" s="799"/>
      <c r="O58" s="799"/>
      <c r="P58" s="799"/>
      <c r="Q58" s="799"/>
      <c r="R58" s="800"/>
    </row>
    <row r="59" spans="1:23" x14ac:dyDescent="0.25">
      <c r="A59" s="21" t="s">
        <v>3</v>
      </c>
      <c r="B59" s="799" t="s">
        <v>46</v>
      </c>
      <c r="C59" s="799"/>
      <c r="D59" s="799"/>
      <c r="E59" s="799"/>
      <c r="F59" s="799"/>
      <c r="G59" s="799"/>
      <c r="H59" s="799"/>
      <c r="I59" s="799"/>
      <c r="J59" s="799"/>
      <c r="K59" s="799"/>
      <c r="L59" s="799"/>
      <c r="M59" s="799"/>
      <c r="N59" s="799"/>
      <c r="O59" s="799"/>
      <c r="P59" s="799"/>
      <c r="Q59" s="799"/>
      <c r="R59" s="800"/>
    </row>
    <row r="60" spans="1:23" x14ac:dyDescent="0.25">
      <c r="A60" s="21" t="s">
        <v>5</v>
      </c>
      <c r="B60" s="799" t="s">
        <v>47</v>
      </c>
      <c r="C60" s="799"/>
      <c r="D60" s="799"/>
      <c r="E60" s="799"/>
      <c r="F60" s="799"/>
      <c r="G60" s="799"/>
      <c r="H60" s="799"/>
      <c r="I60" s="799"/>
      <c r="J60" s="799"/>
      <c r="K60" s="799"/>
      <c r="L60" s="799"/>
      <c r="M60" s="799"/>
      <c r="N60" s="799"/>
      <c r="O60" s="799"/>
      <c r="P60" s="799"/>
      <c r="Q60" s="799"/>
      <c r="R60" s="800"/>
    </row>
    <row r="61" spans="1:23" x14ac:dyDescent="0.25">
      <c r="A61" s="21" t="s">
        <v>6</v>
      </c>
      <c r="B61" s="799" t="s">
        <v>48</v>
      </c>
      <c r="C61" s="799"/>
      <c r="D61" s="799"/>
      <c r="E61" s="799"/>
      <c r="F61" s="799"/>
      <c r="G61" s="799"/>
      <c r="H61" s="799"/>
      <c r="I61" s="799"/>
      <c r="J61" s="799"/>
      <c r="K61" s="799"/>
      <c r="L61" s="799"/>
      <c r="M61" s="799"/>
      <c r="N61" s="799"/>
      <c r="O61" s="799"/>
      <c r="P61" s="799"/>
      <c r="Q61" s="799"/>
      <c r="R61" s="800"/>
    </row>
    <row r="62" spans="1:23" x14ac:dyDescent="0.25">
      <c r="A62" s="21" t="s">
        <v>8</v>
      </c>
      <c r="B62" s="799" t="s">
        <v>44</v>
      </c>
      <c r="C62" s="799"/>
      <c r="D62" s="799"/>
      <c r="E62" s="799"/>
      <c r="F62" s="799"/>
      <c r="G62" s="799"/>
      <c r="H62" s="799"/>
      <c r="I62" s="799"/>
      <c r="J62" s="799"/>
      <c r="K62" s="799"/>
      <c r="L62" s="799"/>
      <c r="M62" s="799"/>
      <c r="N62" s="799"/>
      <c r="O62" s="799"/>
      <c r="P62" s="799"/>
      <c r="Q62" s="799"/>
      <c r="R62" s="800"/>
    </row>
    <row r="63" spans="1:23" ht="12.75" customHeight="1" x14ac:dyDescent="0.25">
      <c r="A63" s="825" t="s">
        <v>10</v>
      </c>
      <c r="B63" s="793" t="s">
        <v>11</v>
      </c>
      <c r="C63" s="813" t="s">
        <v>12</v>
      </c>
      <c r="D63" s="815" t="s">
        <v>361</v>
      </c>
      <c r="E63" s="816"/>
      <c r="F63" s="816"/>
      <c r="G63" s="816"/>
      <c r="H63" s="816"/>
      <c r="I63" s="816"/>
      <c r="J63" s="816"/>
      <c r="K63" s="816"/>
      <c r="L63" s="817"/>
      <c r="M63" s="818" t="s">
        <v>13</v>
      </c>
      <c r="N63" s="811" t="s">
        <v>14</v>
      </c>
      <c r="O63" s="793" t="s">
        <v>15</v>
      </c>
      <c r="P63" s="795" t="s">
        <v>16</v>
      </c>
      <c r="Q63" s="793" t="s">
        <v>17</v>
      </c>
      <c r="R63" s="797" t="s">
        <v>18</v>
      </c>
    </row>
    <row r="64" spans="1:23" ht="26.25" customHeight="1" x14ac:dyDescent="0.25">
      <c r="A64" s="826"/>
      <c r="B64" s="794"/>
      <c r="C64" s="814"/>
      <c r="D64" s="193" t="s">
        <v>366</v>
      </c>
      <c r="E64" s="193" t="s">
        <v>362</v>
      </c>
      <c r="F64" s="193" t="s">
        <v>355</v>
      </c>
      <c r="G64" s="193" t="s">
        <v>357</v>
      </c>
      <c r="H64" s="193" t="s">
        <v>352</v>
      </c>
      <c r="I64" s="193" t="s">
        <v>354</v>
      </c>
      <c r="J64" s="193" t="s">
        <v>353</v>
      </c>
      <c r="K64" s="193" t="s">
        <v>356</v>
      </c>
      <c r="L64" s="193" t="s">
        <v>359</v>
      </c>
      <c r="M64" s="819"/>
      <c r="N64" s="812"/>
      <c r="O64" s="794"/>
      <c r="P64" s="796"/>
      <c r="Q64" s="794"/>
      <c r="R64" s="798"/>
    </row>
    <row r="65" spans="1:23" s="55" customFormat="1" ht="45" customHeight="1" x14ac:dyDescent="0.25">
      <c r="A65" s="457" t="s">
        <v>226</v>
      </c>
      <c r="B65" s="245">
        <v>8</v>
      </c>
      <c r="C65" s="461">
        <v>15000000</v>
      </c>
      <c r="D65" s="239">
        <v>0</v>
      </c>
      <c r="E65" s="239">
        <v>0</v>
      </c>
      <c r="F65" s="239">
        <v>0</v>
      </c>
      <c r="G65" s="239">
        <v>0</v>
      </c>
      <c r="H65" s="239">
        <v>0</v>
      </c>
      <c r="I65" s="239">
        <v>0</v>
      </c>
      <c r="J65" s="239">
        <v>0</v>
      </c>
      <c r="K65" s="240">
        <f t="shared" ref="K65:K73" si="4">J65+I65+H65+G65+F65+E65+D65</f>
        <v>0</v>
      </c>
      <c r="L65" s="240">
        <f t="shared" ref="L65:L73" si="5">C65-K65</f>
        <v>15000000</v>
      </c>
      <c r="M65" s="15"/>
      <c r="N65" s="10">
        <f t="shared" ref="N65:N73" si="6">C65-M65</f>
        <v>15000000</v>
      </c>
      <c r="O65" s="11">
        <f t="shared" ref="O65:O73" si="7">N65/C65</f>
        <v>1</v>
      </c>
      <c r="P65" s="293"/>
      <c r="Q65" s="30"/>
      <c r="R65" s="106"/>
      <c r="T65" s="56"/>
      <c r="U65" s="56"/>
      <c r="V65" s="56"/>
      <c r="W65" s="56"/>
    </row>
    <row r="66" spans="1:23" s="55" customFormat="1" ht="38.25" x14ac:dyDescent="0.25">
      <c r="A66" s="458" t="s">
        <v>49</v>
      </c>
      <c r="B66" s="245">
        <v>17</v>
      </c>
      <c r="C66" s="462">
        <v>40000000</v>
      </c>
      <c r="D66" s="239">
        <v>0</v>
      </c>
      <c r="E66" s="239">
        <v>0</v>
      </c>
      <c r="F66" s="239">
        <v>0</v>
      </c>
      <c r="G66" s="239">
        <v>0</v>
      </c>
      <c r="H66" s="239">
        <v>0</v>
      </c>
      <c r="I66" s="239">
        <v>0</v>
      </c>
      <c r="J66" s="239">
        <v>0</v>
      </c>
      <c r="K66" s="240">
        <f t="shared" si="4"/>
        <v>0</v>
      </c>
      <c r="L66" s="240">
        <f t="shared" si="5"/>
        <v>40000000</v>
      </c>
      <c r="M66" s="15"/>
      <c r="N66" s="10">
        <f t="shared" si="6"/>
        <v>40000000</v>
      </c>
      <c r="O66" s="11">
        <f t="shared" si="7"/>
        <v>1</v>
      </c>
      <c r="P66" s="293"/>
      <c r="Q66" s="30"/>
      <c r="R66" s="106"/>
      <c r="T66" s="56"/>
      <c r="U66" s="56"/>
      <c r="V66" s="56"/>
      <c r="W66" s="56"/>
    </row>
    <row r="67" spans="1:23" s="55" customFormat="1" ht="73.5" customHeight="1" x14ac:dyDescent="0.25">
      <c r="A67" s="459" t="s">
        <v>227</v>
      </c>
      <c r="B67" s="245">
        <v>6</v>
      </c>
      <c r="C67" s="462">
        <v>9000000</v>
      </c>
      <c r="D67" s="239">
        <v>0</v>
      </c>
      <c r="E67" s="239">
        <v>0</v>
      </c>
      <c r="F67" s="239">
        <v>0</v>
      </c>
      <c r="G67" s="239">
        <v>0</v>
      </c>
      <c r="H67" s="239">
        <v>0</v>
      </c>
      <c r="I67" s="239">
        <v>0</v>
      </c>
      <c r="J67" s="239">
        <v>0</v>
      </c>
      <c r="K67" s="240">
        <f t="shared" si="4"/>
        <v>0</v>
      </c>
      <c r="L67" s="240">
        <f t="shared" si="5"/>
        <v>9000000</v>
      </c>
      <c r="M67" s="15"/>
      <c r="N67" s="10">
        <f t="shared" si="6"/>
        <v>9000000</v>
      </c>
      <c r="O67" s="11">
        <f t="shared" si="7"/>
        <v>1</v>
      </c>
      <c r="P67" s="293"/>
      <c r="Q67" s="30"/>
      <c r="R67" s="106"/>
      <c r="T67" s="56"/>
      <c r="U67" s="56"/>
      <c r="V67" s="56"/>
      <c r="W67" s="56"/>
    </row>
    <row r="68" spans="1:23" s="55" customFormat="1" ht="35.25" customHeight="1" x14ac:dyDescent="0.25">
      <c r="A68" s="459" t="s">
        <v>228</v>
      </c>
      <c r="B68" s="245">
        <v>6</v>
      </c>
      <c r="C68" s="462">
        <v>7000000</v>
      </c>
      <c r="D68" s="239">
        <v>0</v>
      </c>
      <c r="E68" s="239">
        <v>0</v>
      </c>
      <c r="F68" s="239">
        <v>0</v>
      </c>
      <c r="G68" s="239">
        <v>0</v>
      </c>
      <c r="H68" s="239">
        <v>0</v>
      </c>
      <c r="I68" s="239">
        <v>0</v>
      </c>
      <c r="J68" s="239">
        <v>0</v>
      </c>
      <c r="K68" s="240">
        <f t="shared" si="4"/>
        <v>0</v>
      </c>
      <c r="L68" s="240">
        <f t="shared" si="5"/>
        <v>7000000</v>
      </c>
      <c r="M68" s="15"/>
      <c r="N68" s="10">
        <f t="shared" si="6"/>
        <v>7000000</v>
      </c>
      <c r="O68" s="11">
        <f t="shared" si="7"/>
        <v>1</v>
      </c>
      <c r="P68" s="293"/>
      <c r="Q68" s="30"/>
      <c r="R68" s="106"/>
      <c r="T68" s="56"/>
      <c r="U68" s="56"/>
      <c r="V68" s="56"/>
      <c r="W68" s="56"/>
    </row>
    <row r="69" spans="1:23" s="55" customFormat="1" ht="35.25" customHeight="1" x14ac:dyDescent="0.25">
      <c r="A69" s="459" t="s">
        <v>229</v>
      </c>
      <c r="B69" s="245">
        <v>3</v>
      </c>
      <c r="C69" s="462">
        <v>2000000</v>
      </c>
      <c r="D69" s="239"/>
      <c r="E69" s="239"/>
      <c r="F69" s="239"/>
      <c r="G69" s="239"/>
      <c r="H69" s="239"/>
      <c r="I69" s="239"/>
      <c r="J69" s="239"/>
      <c r="K69" s="240"/>
      <c r="L69" s="240"/>
      <c r="M69" s="15"/>
      <c r="N69" s="10"/>
      <c r="O69" s="11"/>
      <c r="P69" s="293"/>
      <c r="Q69" s="30"/>
      <c r="R69" s="106"/>
      <c r="T69" s="56"/>
      <c r="U69" s="56"/>
      <c r="V69" s="56"/>
      <c r="W69" s="56"/>
    </row>
    <row r="70" spans="1:23" s="55" customFormat="1" ht="35.25" customHeight="1" x14ac:dyDescent="0.25">
      <c r="A70" s="459" t="s">
        <v>577</v>
      </c>
      <c r="B70" s="245">
        <v>10</v>
      </c>
      <c r="C70" s="462">
        <v>15000000</v>
      </c>
      <c r="D70" s="239"/>
      <c r="E70" s="239"/>
      <c r="F70" s="239"/>
      <c r="G70" s="239"/>
      <c r="H70" s="239"/>
      <c r="I70" s="239"/>
      <c r="J70" s="239"/>
      <c r="K70" s="240"/>
      <c r="L70" s="240"/>
      <c r="M70" s="15"/>
      <c r="N70" s="10"/>
      <c r="O70" s="11"/>
      <c r="P70" s="293"/>
      <c r="Q70" s="30"/>
      <c r="R70" s="106"/>
      <c r="T70" s="56"/>
      <c r="U70" s="56"/>
      <c r="V70" s="56"/>
      <c r="W70" s="56"/>
    </row>
    <row r="71" spans="1:23" s="55" customFormat="1" ht="35.25" customHeight="1" x14ac:dyDescent="0.25">
      <c r="A71" s="401" t="s">
        <v>578</v>
      </c>
      <c r="B71" s="245">
        <v>4</v>
      </c>
      <c r="C71" s="462">
        <v>10000000</v>
      </c>
      <c r="D71" s="239">
        <v>0</v>
      </c>
      <c r="E71" s="239">
        <v>0</v>
      </c>
      <c r="F71" s="239">
        <v>0</v>
      </c>
      <c r="G71" s="239">
        <v>0</v>
      </c>
      <c r="H71" s="239">
        <v>0</v>
      </c>
      <c r="I71" s="239">
        <v>0</v>
      </c>
      <c r="J71" s="239">
        <v>0</v>
      </c>
      <c r="K71" s="240">
        <f t="shared" si="4"/>
        <v>0</v>
      </c>
      <c r="L71" s="240">
        <f t="shared" si="5"/>
        <v>10000000</v>
      </c>
      <c r="M71" s="15"/>
      <c r="N71" s="10">
        <f t="shared" si="6"/>
        <v>10000000</v>
      </c>
      <c r="O71" s="11">
        <f t="shared" si="7"/>
        <v>1</v>
      </c>
      <c r="P71" s="293"/>
      <c r="Q71" s="30"/>
      <c r="R71" s="106"/>
      <c r="T71" s="56"/>
      <c r="U71" s="56"/>
      <c r="V71" s="56"/>
      <c r="W71" s="56"/>
    </row>
    <row r="72" spans="1:23" s="55" customFormat="1" ht="45" customHeight="1" x14ac:dyDescent="0.25">
      <c r="A72" s="401" t="s">
        <v>579</v>
      </c>
      <c r="B72" s="245">
        <v>2</v>
      </c>
      <c r="C72" s="462">
        <v>10000000</v>
      </c>
      <c r="D72" s="239">
        <v>0</v>
      </c>
      <c r="E72" s="239">
        <v>0</v>
      </c>
      <c r="F72" s="239">
        <v>0</v>
      </c>
      <c r="G72" s="239">
        <v>0</v>
      </c>
      <c r="H72" s="239">
        <v>0</v>
      </c>
      <c r="I72" s="239">
        <v>0</v>
      </c>
      <c r="J72" s="239">
        <v>0</v>
      </c>
      <c r="K72" s="240">
        <f t="shared" si="4"/>
        <v>0</v>
      </c>
      <c r="L72" s="240">
        <f t="shared" si="5"/>
        <v>10000000</v>
      </c>
      <c r="M72" s="15"/>
      <c r="N72" s="10">
        <f t="shared" si="6"/>
        <v>10000000</v>
      </c>
      <c r="O72" s="11">
        <f t="shared" si="7"/>
        <v>1</v>
      </c>
      <c r="P72" s="293"/>
      <c r="Q72" s="30"/>
      <c r="R72" s="106"/>
    </row>
    <row r="73" spans="1:23" s="55" customFormat="1" ht="115.5" customHeight="1" x14ac:dyDescent="0.25">
      <c r="A73" s="401" t="s">
        <v>71</v>
      </c>
      <c r="B73" s="245">
        <v>5</v>
      </c>
      <c r="C73" s="242">
        <v>254030056</v>
      </c>
      <c r="D73" s="239">
        <v>0</v>
      </c>
      <c r="E73" s="239">
        <v>0</v>
      </c>
      <c r="F73" s="239">
        <v>0</v>
      </c>
      <c r="G73" s="239">
        <v>0</v>
      </c>
      <c r="H73" s="239">
        <v>0</v>
      </c>
      <c r="I73" s="239">
        <v>0</v>
      </c>
      <c r="J73" s="239">
        <v>0</v>
      </c>
      <c r="K73" s="240">
        <f t="shared" si="4"/>
        <v>0</v>
      </c>
      <c r="L73" s="240">
        <f t="shared" si="5"/>
        <v>254030056</v>
      </c>
      <c r="M73" s="15"/>
      <c r="N73" s="10">
        <f t="shared" si="6"/>
        <v>254030056</v>
      </c>
      <c r="O73" s="11">
        <f t="shared" si="7"/>
        <v>1</v>
      </c>
      <c r="P73" s="381"/>
      <c r="Q73" s="30"/>
      <c r="R73" s="106"/>
    </row>
    <row r="74" spans="1:23" x14ac:dyDescent="0.25">
      <c r="A74" s="21" t="s">
        <v>1</v>
      </c>
      <c r="B74" s="799" t="s">
        <v>45</v>
      </c>
      <c r="C74" s="799"/>
      <c r="D74" s="799"/>
      <c r="E74" s="799"/>
      <c r="F74" s="799"/>
      <c r="G74" s="799"/>
      <c r="H74" s="799"/>
      <c r="I74" s="799"/>
      <c r="J74" s="799"/>
      <c r="K74" s="799"/>
      <c r="L74" s="799"/>
      <c r="M74" s="799"/>
      <c r="N74" s="799"/>
      <c r="O74" s="799"/>
      <c r="P74" s="799"/>
      <c r="Q74" s="799"/>
      <c r="R74" s="800"/>
      <c r="T74" s="50"/>
      <c r="U74" s="50"/>
      <c r="V74" s="50"/>
      <c r="W74" s="50"/>
    </row>
    <row r="75" spans="1:23" x14ac:dyDescent="0.25">
      <c r="A75" s="21" t="s">
        <v>3</v>
      </c>
      <c r="B75" s="799" t="s">
        <v>46</v>
      </c>
      <c r="C75" s="799"/>
      <c r="D75" s="799"/>
      <c r="E75" s="799"/>
      <c r="F75" s="799"/>
      <c r="G75" s="799"/>
      <c r="H75" s="799"/>
      <c r="I75" s="799"/>
      <c r="J75" s="799"/>
      <c r="K75" s="799"/>
      <c r="L75" s="799"/>
      <c r="M75" s="799"/>
      <c r="N75" s="799"/>
      <c r="O75" s="799"/>
      <c r="P75" s="799"/>
      <c r="Q75" s="799"/>
      <c r="R75" s="800"/>
      <c r="T75" s="50"/>
      <c r="U75" s="50"/>
      <c r="V75" s="50"/>
      <c r="W75" s="50"/>
    </row>
    <row r="76" spans="1:23" x14ac:dyDescent="0.25">
      <c r="A76" s="21" t="s">
        <v>5</v>
      </c>
      <c r="B76" s="799" t="s">
        <v>50</v>
      </c>
      <c r="C76" s="799"/>
      <c r="D76" s="799"/>
      <c r="E76" s="799"/>
      <c r="F76" s="799"/>
      <c r="G76" s="799"/>
      <c r="H76" s="799"/>
      <c r="I76" s="799"/>
      <c r="J76" s="799"/>
      <c r="K76" s="799"/>
      <c r="L76" s="799"/>
      <c r="M76" s="799"/>
      <c r="N76" s="799"/>
      <c r="O76" s="799"/>
      <c r="P76" s="799"/>
      <c r="Q76" s="799"/>
      <c r="R76" s="800"/>
      <c r="T76" s="50"/>
      <c r="U76" s="50"/>
      <c r="V76" s="50"/>
      <c r="W76" s="50"/>
    </row>
    <row r="77" spans="1:23" x14ac:dyDescent="0.25">
      <c r="A77" s="339" t="s">
        <v>6</v>
      </c>
      <c r="B77" s="799" t="s">
        <v>48</v>
      </c>
      <c r="C77" s="799"/>
      <c r="D77" s="799"/>
      <c r="E77" s="799"/>
      <c r="F77" s="799"/>
      <c r="G77" s="799"/>
      <c r="H77" s="799"/>
      <c r="I77" s="799"/>
      <c r="J77" s="799"/>
      <c r="K77" s="799"/>
      <c r="L77" s="799"/>
      <c r="M77" s="799"/>
      <c r="N77" s="799"/>
      <c r="O77" s="799"/>
      <c r="P77" s="799"/>
      <c r="Q77" s="799"/>
      <c r="R77" s="800"/>
      <c r="T77" s="50"/>
      <c r="U77" s="50"/>
      <c r="V77" s="50"/>
      <c r="W77" s="50"/>
    </row>
    <row r="78" spans="1:23" x14ac:dyDescent="0.25">
      <c r="A78" s="21" t="s">
        <v>8</v>
      </c>
      <c r="B78" s="799" t="s">
        <v>51</v>
      </c>
      <c r="C78" s="799"/>
      <c r="D78" s="799"/>
      <c r="E78" s="799"/>
      <c r="F78" s="799"/>
      <c r="G78" s="799"/>
      <c r="H78" s="799"/>
      <c r="I78" s="799"/>
      <c r="J78" s="799"/>
      <c r="K78" s="799"/>
      <c r="L78" s="799"/>
      <c r="M78" s="799"/>
      <c r="N78" s="799"/>
      <c r="O78" s="799"/>
      <c r="P78" s="799"/>
      <c r="Q78" s="799"/>
      <c r="R78" s="800"/>
      <c r="T78" s="50"/>
      <c r="U78" s="50"/>
      <c r="V78" s="50"/>
      <c r="W78" s="50"/>
    </row>
    <row r="79" spans="1:23" ht="12.75" customHeight="1" x14ac:dyDescent="0.25">
      <c r="A79" s="825" t="s">
        <v>10</v>
      </c>
      <c r="B79" s="793" t="s">
        <v>11</v>
      </c>
      <c r="C79" s="813" t="s">
        <v>12</v>
      </c>
      <c r="D79" s="815" t="s">
        <v>361</v>
      </c>
      <c r="E79" s="816"/>
      <c r="F79" s="816"/>
      <c r="G79" s="816"/>
      <c r="H79" s="816"/>
      <c r="I79" s="816"/>
      <c r="J79" s="816"/>
      <c r="K79" s="816"/>
      <c r="L79" s="817"/>
      <c r="M79" s="818" t="s">
        <v>13</v>
      </c>
      <c r="N79" s="811" t="s">
        <v>14</v>
      </c>
      <c r="O79" s="793" t="s">
        <v>15</v>
      </c>
      <c r="P79" s="795" t="s">
        <v>16</v>
      </c>
      <c r="Q79" s="793" t="s">
        <v>17</v>
      </c>
      <c r="R79" s="797" t="s">
        <v>18</v>
      </c>
      <c r="T79" s="50"/>
      <c r="U79" s="50"/>
      <c r="V79" s="50"/>
      <c r="W79" s="50"/>
    </row>
    <row r="80" spans="1:23" ht="27.75" customHeight="1" x14ac:dyDescent="0.25">
      <c r="A80" s="826"/>
      <c r="B80" s="794"/>
      <c r="C80" s="814"/>
      <c r="D80" s="193" t="s">
        <v>366</v>
      </c>
      <c r="E80" s="193" t="s">
        <v>362</v>
      </c>
      <c r="F80" s="193" t="s">
        <v>355</v>
      </c>
      <c r="G80" s="193" t="s">
        <v>357</v>
      </c>
      <c r="H80" s="193" t="s">
        <v>352</v>
      </c>
      <c r="I80" s="193" t="s">
        <v>354</v>
      </c>
      <c r="J80" s="193" t="s">
        <v>353</v>
      </c>
      <c r="K80" s="193" t="s">
        <v>356</v>
      </c>
      <c r="L80" s="193" t="s">
        <v>359</v>
      </c>
      <c r="M80" s="819"/>
      <c r="N80" s="812"/>
      <c r="O80" s="794"/>
      <c r="P80" s="796"/>
      <c r="Q80" s="794"/>
      <c r="R80" s="798"/>
      <c r="T80" s="50"/>
      <c r="U80" s="50"/>
      <c r="V80" s="50"/>
      <c r="W80" s="50"/>
    </row>
    <row r="81" spans="1:23" s="55" customFormat="1" ht="30.75" customHeight="1" x14ac:dyDescent="0.25">
      <c r="A81" s="459" t="s">
        <v>232</v>
      </c>
      <c r="B81" s="245">
        <v>1</v>
      </c>
      <c r="C81" s="237">
        <v>20500000</v>
      </c>
      <c r="D81" s="239">
        <v>0</v>
      </c>
      <c r="E81" s="239">
        <v>0</v>
      </c>
      <c r="F81" s="239">
        <v>0</v>
      </c>
      <c r="G81" s="239">
        <v>0</v>
      </c>
      <c r="H81" s="239">
        <v>0</v>
      </c>
      <c r="I81" s="239">
        <v>0</v>
      </c>
      <c r="J81" s="239">
        <v>0</v>
      </c>
      <c r="K81" s="240">
        <f t="shared" ref="K81:K90" si="8">J81+I81+H81+G81+F81+E81+D81</f>
        <v>0</v>
      </c>
      <c r="L81" s="240">
        <f t="shared" ref="L81:L90" si="9">C81-K81</f>
        <v>20500000</v>
      </c>
      <c r="M81" s="15"/>
      <c r="N81" s="10">
        <f t="shared" ref="N81:N90" si="10">C81-M81</f>
        <v>20500000</v>
      </c>
      <c r="O81" s="11">
        <f t="shared" ref="O81:O90" si="11">N81/C81</f>
        <v>1</v>
      </c>
      <c r="P81" s="37"/>
      <c r="Q81" s="38"/>
      <c r="R81" s="106"/>
    </row>
    <row r="82" spans="1:23" s="55" customFormat="1" ht="27" customHeight="1" x14ac:dyDescent="0.25">
      <c r="A82" s="459" t="s">
        <v>580</v>
      </c>
      <c r="B82" s="245">
        <v>1</v>
      </c>
      <c r="C82" s="237">
        <v>17500000</v>
      </c>
      <c r="D82" s="239">
        <v>0</v>
      </c>
      <c r="E82" s="239">
        <v>0</v>
      </c>
      <c r="F82" s="239">
        <v>0</v>
      </c>
      <c r="G82" s="239">
        <v>0</v>
      </c>
      <c r="H82" s="239">
        <v>0</v>
      </c>
      <c r="I82" s="239">
        <v>0</v>
      </c>
      <c r="J82" s="239">
        <v>0</v>
      </c>
      <c r="K82" s="240">
        <f t="shared" si="8"/>
        <v>0</v>
      </c>
      <c r="L82" s="240">
        <f t="shared" si="9"/>
        <v>17500000</v>
      </c>
      <c r="M82" s="15"/>
      <c r="N82" s="10">
        <f t="shared" si="10"/>
        <v>17500000</v>
      </c>
      <c r="O82" s="11">
        <f t="shared" si="11"/>
        <v>1</v>
      </c>
      <c r="P82" s="37"/>
      <c r="Q82" s="38"/>
      <c r="R82" s="106"/>
    </row>
    <row r="83" spans="1:23" s="55" customFormat="1" ht="41.25" customHeight="1" x14ac:dyDescent="0.25">
      <c r="A83" s="459" t="s">
        <v>581</v>
      </c>
      <c r="B83" s="245">
        <v>1</v>
      </c>
      <c r="C83" s="237">
        <v>17500000</v>
      </c>
      <c r="D83" s="239">
        <v>0</v>
      </c>
      <c r="E83" s="239">
        <v>0</v>
      </c>
      <c r="F83" s="239">
        <v>0</v>
      </c>
      <c r="G83" s="239">
        <v>0</v>
      </c>
      <c r="H83" s="239">
        <v>0</v>
      </c>
      <c r="I83" s="239">
        <v>0</v>
      </c>
      <c r="J83" s="239">
        <v>0</v>
      </c>
      <c r="K83" s="240">
        <f t="shared" si="8"/>
        <v>0</v>
      </c>
      <c r="L83" s="240">
        <f t="shared" si="9"/>
        <v>17500000</v>
      </c>
      <c r="M83" s="15"/>
      <c r="N83" s="10">
        <f t="shared" si="10"/>
        <v>17500000</v>
      </c>
      <c r="O83" s="11">
        <f t="shared" si="11"/>
        <v>1</v>
      </c>
      <c r="P83" s="37"/>
      <c r="Q83" s="38"/>
      <c r="R83" s="106"/>
    </row>
    <row r="84" spans="1:23" s="55" customFormat="1" ht="40.5" customHeight="1" x14ac:dyDescent="0.25">
      <c r="A84" s="459" t="s">
        <v>582</v>
      </c>
      <c r="B84" s="245">
        <v>1</v>
      </c>
      <c r="C84" s="237">
        <v>17500000</v>
      </c>
      <c r="D84" s="239">
        <v>0</v>
      </c>
      <c r="E84" s="239">
        <v>0</v>
      </c>
      <c r="F84" s="239">
        <v>0</v>
      </c>
      <c r="G84" s="239">
        <v>0</v>
      </c>
      <c r="H84" s="239">
        <v>0</v>
      </c>
      <c r="I84" s="239">
        <v>0</v>
      </c>
      <c r="J84" s="239">
        <v>0</v>
      </c>
      <c r="K84" s="240">
        <f t="shared" si="8"/>
        <v>0</v>
      </c>
      <c r="L84" s="240">
        <f t="shared" si="9"/>
        <v>17500000</v>
      </c>
      <c r="M84" s="15"/>
      <c r="N84" s="10">
        <f t="shared" si="10"/>
        <v>17500000</v>
      </c>
      <c r="O84" s="11">
        <f t="shared" si="11"/>
        <v>1</v>
      </c>
      <c r="P84" s="37"/>
      <c r="Q84" s="38"/>
      <c r="R84" s="106"/>
    </row>
    <row r="85" spans="1:23" s="55" customFormat="1" x14ac:dyDescent="0.25">
      <c r="A85" s="459" t="s">
        <v>583</v>
      </c>
      <c r="B85" s="245">
        <v>1</v>
      </c>
      <c r="C85" s="237">
        <v>17500000</v>
      </c>
      <c r="D85" s="239">
        <v>0</v>
      </c>
      <c r="E85" s="239">
        <v>0</v>
      </c>
      <c r="F85" s="239">
        <v>0</v>
      </c>
      <c r="G85" s="239">
        <v>0</v>
      </c>
      <c r="H85" s="239">
        <v>0</v>
      </c>
      <c r="I85" s="239">
        <v>0</v>
      </c>
      <c r="J85" s="239">
        <v>0</v>
      </c>
      <c r="K85" s="240">
        <f t="shared" si="8"/>
        <v>0</v>
      </c>
      <c r="L85" s="240">
        <f t="shared" si="9"/>
        <v>17500000</v>
      </c>
      <c r="M85" s="15"/>
      <c r="N85" s="10">
        <f t="shared" si="10"/>
        <v>17500000</v>
      </c>
      <c r="O85" s="11">
        <f t="shared" si="11"/>
        <v>1</v>
      </c>
      <c r="P85" s="37"/>
      <c r="Q85" s="38"/>
      <c r="R85" s="106"/>
    </row>
    <row r="86" spans="1:23" s="55" customFormat="1" ht="25.5" x14ac:dyDescent="0.25">
      <c r="A86" s="459" t="s">
        <v>584</v>
      </c>
      <c r="B86" s="245">
        <v>1</v>
      </c>
      <c r="C86" s="237">
        <v>17500000</v>
      </c>
      <c r="D86" s="239">
        <v>0</v>
      </c>
      <c r="E86" s="239">
        <v>0</v>
      </c>
      <c r="F86" s="239">
        <v>0</v>
      </c>
      <c r="G86" s="239">
        <v>0</v>
      </c>
      <c r="H86" s="239">
        <v>0</v>
      </c>
      <c r="I86" s="239">
        <v>0</v>
      </c>
      <c r="J86" s="239">
        <v>0</v>
      </c>
      <c r="K86" s="240">
        <f t="shared" si="8"/>
        <v>0</v>
      </c>
      <c r="L86" s="240">
        <f t="shared" si="9"/>
        <v>17500000</v>
      </c>
      <c r="M86" s="15"/>
      <c r="N86" s="10">
        <f t="shared" si="10"/>
        <v>17500000</v>
      </c>
      <c r="O86" s="11">
        <f t="shared" si="11"/>
        <v>1</v>
      </c>
      <c r="P86" s="37"/>
      <c r="Q86" s="38"/>
      <c r="R86" s="106"/>
    </row>
    <row r="87" spans="1:23" s="55" customFormat="1" ht="23.25" customHeight="1" x14ac:dyDescent="0.25">
      <c r="A87" s="459" t="s">
        <v>240</v>
      </c>
      <c r="B87" s="245" t="s">
        <v>241</v>
      </c>
      <c r="C87" s="237">
        <v>22500000</v>
      </c>
      <c r="D87" s="239">
        <v>0</v>
      </c>
      <c r="E87" s="239">
        <v>0</v>
      </c>
      <c r="F87" s="239">
        <v>0</v>
      </c>
      <c r="G87" s="239">
        <v>0</v>
      </c>
      <c r="H87" s="239">
        <v>0</v>
      </c>
      <c r="I87" s="239">
        <v>0</v>
      </c>
      <c r="J87" s="239">
        <v>0</v>
      </c>
      <c r="K87" s="240">
        <f t="shared" si="8"/>
        <v>0</v>
      </c>
      <c r="L87" s="240">
        <f t="shared" si="9"/>
        <v>22500000</v>
      </c>
      <c r="M87" s="15"/>
      <c r="N87" s="10">
        <f t="shared" si="10"/>
        <v>22500000</v>
      </c>
      <c r="O87" s="11">
        <f t="shared" si="11"/>
        <v>1</v>
      </c>
      <c r="P87" s="37"/>
      <c r="Q87" s="38"/>
      <c r="R87" s="106"/>
    </row>
    <row r="88" spans="1:23" s="55" customFormat="1" ht="48" customHeight="1" x14ac:dyDescent="0.25">
      <c r="A88" s="459" t="s">
        <v>585</v>
      </c>
      <c r="B88" s="245">
        <v>6</v>
      </c>
      <c r="C88" s="237">
        <v>15000000</v>
      </c>
      <c r="D88" s="239">
        <v>0</v>
      </c>
      <c r="E88" s="239">
        <v>0</v>
      </c>
      <c r="F88" s="239">
        <v>0</v>
      </c>
      <c r="G88" s="239">
        <v>0</v>
      </c>
      <c r="H88" s="239">
        <v>0</v>
      </c>
      <c r="I88" s="239">
        <v>0</v>
      </c>
      <c r="J88" s="239">
        <v>0</v>
      </c>
      <c r="K88" s="240">
        <f t="shared" si="8"/>
        <v>0</v>
      </c>
      <c r="L88" s="240">
        <f t="shared" si="9"/>
        <v>15000000</v>
      </c>
      <c r="M88" s="15"/>
      <c r="N88" s="10">
        <f t="shared" si="10"/>
        <v>15000000</v>
      </c>
      <c r="O88" s="11">
        <f t="shared" si="11"/>
        <v>1</v>
      </c>
      <c r="P88" s="37"/>
      <c r="Q88" s="38"/>
      <c r="R88" s="106"/>
    </row>
    <row r="89" spans="1:23" s="55" customFormat="1" ht="34.5" customHeight="1" x14ac:dyDescent="0.25">
      <c r="A89" s="459" t="s">
        <v>586</v>
      </c>
      <c r="B89" s="245" t="s">
        <v>241</v>
      </c>
      <c r="C89" s="237">
        <v>10000000</v>
      </c>
      <c r="D89" s="239">
        <v>0</v>
      </c>
      <c r="E89" s="239">
        <v>0</v>
      </c>
      <c r="F89" s="239">
        <v>0</v>
      </c>
      <c r="G89" s="239">
        <v>0</v>
      </c>
      <c r="H89" s="239">
        <v>0</v>
      </c>
      <c r="I89" s="239">
        <v>0</v>
      </c>
      <c r="J89" s="239">
        <v>0</v>
      </c>
      <c r="K89" s="240">
        <f t="shared" si="8"/>
        <v>0</v>
      </c>
      <c r="L89" s="240">
        <f t="shared" si="9"/>
        <v>10000000</v>
      </c>
      <c r="M89" s="15"/>
      <c r="N89" s="10">
        <f t="shared" si="10"/>
        <v>10000000</v>
      </c>
      <c r="O89" s="11">
        <f t="shared" si="11"/>
        <v>1</v>
      </c>
      <c r="P89" s="292"/>
      <c r="Q89" s="38"/>
      <c r="R89" s="109"/>
    </row>
    <row r="90" spans="1:23" s="55" customFormat="1" ht="32.25" customHeight="1" x14ac:dyDescent="0.25">
      <c r="A90" s="459" t="s">
        <v>242</v>
      </c>
      <c r="B90" s="245">
        <v>10</v>
      </c>
      <c r="C90" s="463">
        <v>537446770</v>
      </c>
      <c r="D90" s="239">
        <v>0</v>
      </c>
      <c r="E90" s="239">
        <v>0</v>
      </c>
      <c r="F90" s="239">
        <v>0</v>
      </c>
      <c r="G90" s="239">
        <v>0</v>
      </c>
      <c r="H90" s="239">
        <v>0</v>
      </c>
      <c r="I90" s="239">
        <v>0</v>
      </c>
      <c r="J90" s="239">
        <v>0</v>
      </c>
      <c r="K90" s="240">
        <f t="shared" si="8"/>
        <v>0</v>
      </c>
      <c r="L90" s="240">
        <f t="shared" si="9"/>
        <v>537446770</v>
      </c>
      <c r="M90" s="15"/>
      <c r="N90" s="10">
        <f t="shared" si="10"/>
        <v>537446770</v>
      </c>
      <c r="O90" s="11">
        <f t="shared" si="11"/>
        <v>1</v>
      </c>
      <c r="P90" s="292"/>
      <c r="Q90" s="38"/>
      <c r="R90" s="109"/>
    </row>
    <row r="91" spans="1:23" x14ac:dyDescent="0.25">
      <c r="A91" s="21" t="s">
        <v>1</v>
      </c>
      <c r="B91" s="799" t="s">
        <v>45</v>
      </c>
      <c r="C91" s="799"/>
      <c r="D91" s="799"/>
      <c r="E91" s="799"/>
      <c r="F91" s="799"/>
      <c r="G91" s="799"/>
      <c r="H91" s="799"/>
      <c r="I91" s="799"/>
      <c r="J91" s="799"/>
      <c r="K91" s="799"/>
      <c r="L91" s="799"/>
      <c r="M91" s="799"/>
      <c r="N91" s="799"/>
      <c r="O91" s="799"/>
      <c r="P91" s="799"/>
      <c r="Q91" s="799"/>
      <c r="R91" s="800"/>
      <c r="T91" s="50"/>
      <c r="U91" s="50"/>
      <c r="V91" s="50"/>
      <c r="W91" s="50"/>
    </row>
    <row r="92" spans="1:23" x14ac:dyDescent="0.25">
      <c r="A92" s="21" t="s">
        <v>3</v>
      </c>
      <c r="B92" s="799" t="s">
        <v>46</v>
      </c>
      <c r="C92" s="799"/>
      <c r="D92" s="799"/>
      <c r="E92" s="799"/>
      <c r="F92" s="799"/>
      <c r="G92" s="799"/>
      <c r="H92" s="799"/>
      <c r="I92" s="799"/>
      <c r="J92" s="799"/>
      <c r="K92" s="799"/>
      <c r="L92" s="799"/>
      <c r="M92" s="799"/>
      <c r="N92" s="799"/>
      <c r="O92" s="799"/>
      <c r="P92" s="799"/>
      <c r="Q92" s="799"/>
      <c r="R92" s="800"/>
      <c r="T92" s="50"/>
      <c r="U92" s="50"/>
      <c r="V92" s="50"/>
      <c r="W92" s="50"/>
    </row>
    <row r="93" spans="1:23" x14ac:dyDescent="0.25">
      <c r="A93" s="21" t="s">
        <v>5</v>
      </c>
      <c r="B93" s="799" t="s">
        <v>52</v>
      </c>
      <c r="C93" s="799"/>
      <c r="D93" s="799"/>
      <c r="E93" s="799"/>
      <c r="F93" s="799"/>
      <c r="G93" s="799"/>
      <c r="H93" s="799"/>
      <c r="I93" s="799"/>
      <c r="J93" s="799"/>
      <c r="K93" s="799"/>
      <c r="L93" s="799"/>
      <c r="M93" s="799"/>
      <c r="N93" s="799"/>
      <c r="O93" s="799"/>
      <c r="P93" s="799"/>
      <c r="Q93" s="799"/>
      <c r="R93" s="800"/>
      <c r="T93" s="50"/>
      <c r="U93" s="50"/>
      <c r="V93" s="50"/>
      <c r="W93" s="50"/>
    </row>
    <row r="94" spans="1:23" x14ac:dyDescent="0.25">
      <c r="A94" s="21" t="s">
        <v>6</v>
      </c>
      <c r="B94" s="799" t="s">
        <v>48</v>
      </c>
      <c r="C94" s="799"/>
      <c r="D94" s="799"/>
      <c r="E94" s="799"/>
      <c r="F94" s="799"/>
      <c r="G94" s="799"/>
      <c r="H94" s="799"/>
      <c r="I94" s="799"/>
      <c r="J94" s="799"/>
      <c r="K94" s="799"/>
      <c r="L94" s="799"/>
      <c r="M94" s="799"/>
      <c r="N94" s="799"/>
      <c r="O94" s="799"/>
      <c r="P94" s="799"/>
      <c r="Q94" s="799"/>
      <c r="R94" s="800"/>
      <c r="T94" s="50"/>
      <c r="U94" s="50"/>
      <c r="V94" s="50"/>
      <c r="W94" s="50"/>
    </row>
    <row r="95" spans="1:23" x14ac:dyDescent="0.25">
      <c r="A95" s="21" t="s">
        <v>8</v>
      </c>
      <c r="B95" s="799" t="s">
        <v>44</v>
      </c>
      <c r="C95" s="799"/>
      <c r="D95" s="799"/>
      <c r="E95" s="799"/>
      <c r="F95" s="799"/>
      <c r="G95" s="799"/>
      <c r="H95" s="799"/>
      <c r="I95" s="799"/>
      <c r="J95" s="799"/>
      <c r="K95" s="799"/>
      <c r="L95" s="799"/>
      <c r="M95" s="799"/>
      <c r="N95" s="799"/>
      <c r="O95" s="799"/>
      <c r="P95" s="799"/>
      <c r="Q95" s="799"/>
      <c r="R95" s="800"/>
      <c r="T95" s="50"/>
      <c r="U95" s="50"/>
      <c r="V95" s="50"/>
      <c r="W95" s="50"/>
    </row>
    <row r="96" spans="1:23" ht="12.75" customHeight="1" x14ac:dyDescent="0.25">
      <c r="A96" s="825" t="s">
        <v>10</v>
      </c>
      <c r="B96" s="793" t="s">
        <v>11</v>
      </c>
      <c r="C96" s="813" t="s">
        <v>12</v>
      </c>
      <c r="D96" s="815" t="s">
        <v>361</v>
      </c>
      <c r="E96" s="816"/>
      <c r="F96" s="816"/>
      <c r="G96" s="816"/>
      <c r="H96" s="816"/>
      <c r="I96" s="816"/>
      <c r="J96" s="816"/>
      <c r="K96" s="816"/>
      <c r="L96" s="817"/>
      <c r="M96" s="818" t="s">
        <v>13</v>
      </c>
      <c r="N96" s="811" t="s">
        <v>14</v>
      </c>
      <c r="O96" s="793" t="s">
        <v>15</v>
      </c>
      <c r="P96" s="795" t="s">
        <v>16</v>
      </c>
      <c r="Q96" s="793" t="s">
        <v>17</v>
      </c>
      <c r="R96" s="797" t="s">
        <v>18</v>
      </c>
    </row>
    <row r="97" spans="1:23" ht="37.5" customHeight="1" x14ac:dyDescent="0.25">
      <c r="A97" s="826"/>
      <c r="B97" s="794"/>
      <c r="C97" s="814"/>
      <c r="D97" s="193" t="s">
        <v>366</v>
      </c>
      <c r="E97" s="193" t="s">
        <v>362</v>
      </c>
      <c r="F97" s="193" t="s">
        <v>355</v>
      </c>
      <c r="G97" s="193" t="s">
        <v>357</v>
      </c>
      <c r="H97" s="193" t="s">
        <v>352</v>
      </c>
      <c r="I97" s="193" t="s">
        <v>354</v>
      </c>
      <c r="J97" s="193" t="s">
        <v>353</v>
      </c>
      <c r="K97" s="193" t="s">
        <v>356</v>
      </c>
      <c r="L97" s="193" t="s">
        <v>359</v>
      </c>
      <c r="M97" s="819"/>
      <c r="N97" s="812"/>
      <c r="O97" s="794"/>
      <c r="P97" s="796"/>
      <c r="Q97" s="794"/>
      <c r="R97" s="798"/>
    </row>
    <row r="98" spans="1:23" s="55" customFormat="1" ht="44.25" customHeight="1" x14ac:dyDescent="0.25">
      <c r="A98" s="459" t="s">
        <v>243</v>
      </c>
      <c r="B98" s="286">
        <v>12</v>
      </c>
      <c r="C98" s="464">
        <v>54000000</v>
      </c>
      <c r="D98" s="239">
        <v>0</v>
      </c>
      <c r="E98" s="239">
        <v>0</v>
      </c>
      <c r="F98" s="239">
        <v>0</v>
      </c>
      <c r="G98" s="239">
        <v>0</v>
      </c>
      <c r="H98" s="239">
        <v>0</v>
      </c>
      <c r="I98" s="239">
        <v>0</v>
      </c>
      <c r="J98" s="239">
        <v>0</v>
      </c>
      <c r="K98" s="240">
        <f>J98+I98+H98+G98+F98+E98+D98</f>
        <v>0</v>
      </c>
      <c r="L98" s="240">
        <f>C98-K98</f>
        <v>54000000</v>
      </c>
      <c r="M98" s="15"/>
      <c r="N98" s="10">
        <f>C98-M98</f>
        <v>54000000</v>
      </c>
      <c r="O98" s="11">
        <f>N98/C98</f>
        <v>1</v>
      </c>
      <c r="P98" s="293"/>
      <c r="Q98" s="30"/>
      <c r="R98" s="106"/>
      <c r="T98" s="56"/>
      <c r="U98" s="56"/>
      <c r="V98" s="56"/>
      <c r="W98" s="56"/>
    </row>
    <row r="99" spans="1:23" x14ac:dyDescent="0.25">
      <c r="A99" s="21" t="s">
        <v>1</v>
      </c>
      <c r="B99" s="799" t="s">
        <v>45</v>
      </c>
      <c r="C99" s="799"/>
      <c r="D99" s="799"/>
      <c r="E99" s="799"/>
      <c r="F99" s="799"/>
      <c r="G99" s="799"/>
      <c r="H99" s="799"/>
      <c r="I99" s="799"/>
      <c r="J99" s="799"/>
      <c r="K99" s="799"/>
      <c r="L99" s="799"/>
      <c r="M99" s="799"/>
      <c r="N99" s="799"/>
      <c r="O99" s="799"/>
      <c r="P99" s="799"/>
      <c r="Q99" s="799"/>
      <c r="R99" s="800"/>
    </row>
    <row r="100" spans="1:23" x14ac:dyDescent="0.25">
      <c r="A100" s="21" t="s">
        <v>3</v>
      </c>
      <c r="B100" s="799" t="s">
        <v>53</v>
      </c>
      <c r="C100" s="799"/>
      <c r="D100" s="799"/>
      <c r="E100" s="799"/>
      <c r="F100" s="799"/>
      <c r="G100" s="799"/>
      <c r="H100" s="799"/>
      <c r="I100" s="799"/>
      <c r="J100" s="799"/>
      <c r="K100" s="799"/>
      <c r="L100" s="799"/>
      <c r="M100" s="799"/>
      <c r="N100" s="799"/>
      <c r="O100" s="799"/>
      <c r="P100" s="799"/>
      <c r="Q100" s="799"/>
      <c r="R100" s="800"/>
      <c r="T100" s="50"/>
      <c r="U100" s="50"/>
      <c r="V100" s="50"/>
      <c r="W100" s="50"/>
    </row>
    <row r="101" spans="1:23" x14ac:dyDescent="0.25">
      <c r="A101" s="21" t="s">
        <v>5</v>
      </c>
      <c r="B101" s="799" t="s">
        <v>54</v>
      </c>
      <c r="C101" s="799"/>
      <c r="D101" s="799"/>
      <c r="E101" s="799"/>
      <c r="F101" s="799"/>
      <c r="G101" s="799"/>
      <c r="H101" s="799"/>
      <c r="I101" s="799"/>
      <c r="J101" s="799"/>
      <c r="K101" s="799"/>
      <c r="L101" s="799"/>
      <c r="M101" s="799"/>
      <c r="N101" s="799"/>
      <c r="O101" s="799"/>
      <c r="P101" s="799"/>
      <c r="Q101" s="799"/>
      <c r="R101" s="800"/>
      <c r="T101" s="50"/>
      <c r="U101" s="50"/>
      <c r="V101" s="50"/>
      <c r="W101" s="50"/>
    </row>
    <row r="102" spans="1:23" x14ac:dyDescent="0.25">
      <c r="A102" s="21" t="s">
        <v>6</v>
      </c>
      <c r="B102" s="799" t="s">
        <v>48</v>
      </c>
      <c r="C102" s="799"/>
      <c r="D102" s="799"/>
      <c r="E102" s="799"/>
      <c r="F102" s="799"/>
      <c r="G102" s="799"/>
      <c r="H102" s="799"/>
      <c r="I102" s="799"/>
      <c r="J102" s="799"/>
      <c r="K102" s="799"/>
      <c r="L102" s="799"/>
      <c r="M102" s="799"/>
      <c r="N102" s="799"/>
      <c r="O102" s="799"/>
      <c r="P102" s="799"/>
      <c r="Q102" s="799"/>
      <c r="R102" s="800"/>
      <c r="T102" s="50"/>
      <c r="U102" s="50"/>
      <c r="V102" s="50"/>
      <c r="W102" s="50"/>
    </row>
    <row r="103" spans="1:23" x14ac:dyDescent="0.25">
      <c r="A103" s="21" t="s">
        <v>8</v>
      </c>
      <c r="B103" s="799" t="s">
        <v>44</v>
      </c>
      <c r="C103" s="799"/>
      <c r="D103" s="799"/>
      <c r="E103" s="799"/>
      <c r="F103" s="799"/>
      <c r="G103" s="799"/>
      <c r="H103" s="799"/>
      <c r="I103" s="799"/>
      <c r="J103" s="799"/>
      <c r="K103" s="799"/>
      <c r="L103" s="799"/>
      <c r="M103" s="799"/>
      <c r="N103" s="799"/>
      <c r="O103" s="799"/>
      <c r="P103" s="799"/>
      <c r="Q103" s="799"/>
      <c r="R103" s="800"/>
      <c r="T103" s="50"/>
      <c r="U103" s="50"/>
      <c r="V103" s="50"/>
      <c r="W103" s="50"/>
    </row>
    <row r="104" spans="1:23" ht="12.75" customHeight="1" x14ac:dyDescent="0.25">
      <c r="A104" s="825" t="s">
        <v>10</v>
      </c>
      <c r="B104" s="793" t="s">
        <v>11</v>
      </c>
      <c r="C104" s="813" t="s">
        <v>12</v>
      </c>
      <c r="D104" s="815" t="s">
        <v>361</v>
      </c>
      <c r="E104" s="816"/>
      <c r="F104" s="816"/>
      <c r="G104" s="816"/>
      <c r="H104" s="816"/>
      <c r="I104" s="816"/>
      <c r="J104" s="816"/>
      <c r="K104" s="816"/>
      <c r="L104" s="817"/>
      <c r="M104" s="818" t="s">
        <v>13</v>
      </c>
      <c r="N104" s="811" t="s">
        <v>14</v>
      </c>
      <c r="O104" s="793" t="s">
        <v>15</v>
      </c>
      <c r="P104" s="795" t="s">
        <v>16</v>
      </c>
      <c r="Q104" s="793" t="s">
        <v>17</v>
      </c>
      <c r="R104" s="797" t="s">
        <v>18</v>
      </c>
      <c r="T104" s="50"/>
      <c r="U104" s="50"/>
      <c r="V104" s="50"/>
      <c r="W104" s="50"/>
    </row>
    <row r="105" spans="1:23" ht="32.25" customHeight="1" x14ac:dyDescent="0.25">
      <c r="A105" s="826"/>
      <c r="B105" s="794"/>
      <c r="C105" s="814"/>
      <c r="D105" s="193" t="s">
        <v>366</v>
      </c>
      <c r="E105" s="193" t="s">
        <v>362</v>
      </c>
      <c r="F105" s="193" t="s">
        <v>355</v>
      </c>
      <c r="G105" s="193" t="s">
        <v>357</v>
      </c>
      <c r="H105" s="193" t="s">
        <v>352</v>
      </c>
      <c r="I105" s="193" t="s">
        <v>354</v>
      </c>
      <c r="J105" s="193" t="s">
        <v>353</v>
      </c>
      <c r="K105" s="193" t="s">
        <v>356</v>
      </c>
      <c r="L105" s="193" t="s">
        <v>359</v>
      </c>
      <c r="M105" s="819"/>
      <c r="N105" s="812"/>
      <c r="O105" s="794"/>
      <c r="P105" s="796"/>
      <c r="Q105" s="794"/>
      <c r="R105" s="798"/>
      <c r="T105" s="50"/>
      <c r="U105" s="50"/>
      <c r="V105" s="50"/>
      <c r="W105" s="50"/>
    </row>
    <row r="106" spans="1:23" s="55" customFormat="1" ht="36" x14ac:dyDescent="0.25">
      <c r="A106" s="474" t="s">
        <v>244</v>
      </c>
      <c r="B106" s="286">
        <v>3</v>
      </c>
      <c r="C106" s="242">
        <v>1000000</v>
      </c>
      <c r="D106" s="239">
        <v>0</v>
      </c>
      <c r="E106" s="239">
        <v>0</v>
      </c>
      <c r="F106" s="239">
        <v>0</v>
      </c>
      <c r="G106" s="239">
        <v>0</v>
      </c>
      <c r="H106" s="239">
        <v>0</v>
      </c>
      <c r="I106" s="239">
        <v>0</v>
      </c>
      <c r="J106" s="239">
        <v>0</v>
      </c>
      <c r="K106" s="240">
        <f>J106+I106+H106+G106+F106+E106+D106</f>
        <v>0</v>
      </c>
      <c r="L106" s="240">
        <f>C106-K106</f>
        <v>1000000</v>
      </c>
      <c r="M106" s="15"/>
      <c r="N106" s="10">
        <f>C106-M106</f>
        <v>1000000</v>
      </c>
      <c r="O106" s="11">
        <f>N106/C106</f>
        <v>1</v>
      </c>
      <c r="P106" s="293"/>
      <c r="Q106" s="30"/>
      <c r="R106" s="106"/>
    </row>
    <row r="107" spans="1:23" s="55" customFormat="1" ht="48" x14ac:dyDescent="0.25">
      <c r="A107" s="474" t="s">
        <v>322</v>
      </c>
      <c r="B107" s="286">
        <v>5</v>
      </c>
      <c r="C107" s="242">
        <v>1000000</v>
      </c>
      <c r="D107" s="239">
        <v>0</v>
      </c>
      <c r="E107" s="239">
        <v>0</v>
      </c>
      <c r="F107" s="239">
        <v>0</v>
      </c>
      <c r="G107" s="239">
        <v>0</v>
      </c>
      <c r="H107" s="239">
        <v>0</v>
      </c>
      <c r="I107" s="239">
        <v>0</v>
      </c>
      <c r="J107" s="239">
        <v>0</v>
      </c>
      <c r="K107" s="240">
        <f>J107+I107+H107+G107+F107+E107+D107</f>
        <v>0</v>
      </c>
      <c r="L107" s="240">
        <f>C107-K107</f>
        <v>1000000</v>
      </c>
      <c r="M107" s="15"/>
      <c r="N107" s="10">
        <f>C107-M107</f>
        <v>1000000</v>
      </c>
      <c r="O107" s="11">
        <f>N107/C107</f>
        <v>1</v>
      </c>
      <c r="P107" s="293"/>
      <c r="Q107" s="30"/>
      <c r="R107" s="106"/>
    </row>
    <row r="108" spans="1:23" s="55" customFormat="1" ht="36" x14ac:dyDescent="0.25">
      <c r="A108" s="474" t="s">
        <v>587</v>
      </c>
      <c r="B108" s="286">
        <v>4</v>
      </c>
      <c r="C108" s="242">
        <v>8000000</v>
      </c>
      <c r="D108" s="239">
        <v>0</v>
      </c>
      <c r="E108" s="239">
        <v>0</v>
      </c>
      <c r="F108" s="239">
        <v>0</v>
      </c>
      <c r="G108" s="239">
        <v>0</v>
      </c>
      <c r="H108" s="239">
        <v>0</v>
      </c>
      <c r="I108" s="239">
        <v>0</v>
      </c>
      <c r="J108" s="239">
        <v>0</v>
      </c>
      <c r="K108" s="240">
        <f>J108+I108+H108+G108+F108+E108+D108</f>
        <v>0</v>
      </c>
      <c r="L108" s="240">
        <f>C108-K108</f>
        <v>8000000</v>
      </c>
      <c r="M108" s="15"/>
      <c r="N108" s="10">
        <f>C108-M108</f>
        <v>8000000</v>
      </c>
      <c r="O108" s="11">
        <f>N108/C108</f>
        <v>1</v>
      </c>
      <c r="P108" s="293"/>
      <c r="Q108" s="30"/>
      <c r="R108" s="106"/>
    </row>
    <row r="109" spans="1:23" x14ac:dyDescent="0.25">
      <c r="A109" s="21" t="s">
        <v>1</v>
      </c>
      <c r="B109" s="799" t="s">
        <v>45</v>
      </c>
      <c r="C109" s="799"/>
      <c r="D109" s="799"/>
      <c r="E109" s="799"/>
      <c r="F109" s="799"/>
      <c r="G109" s="799"/>
      <c r="H109" s="799"/>
      <c r="I109" s="799"/>
      <c r="J109" s="799"/>
      <c r="K109" s="799"/>
      <c r="L109" s="799"/>
      <c r="M109" s="799"/>
      <c r="N109" s="799"/>
      <c r="O109" s="799"/>
      <c r="P109" s="799"/>
      <c r="Q109" s="799"/>
      <c r="R109" s="800"/>
      <c r="T109" s="50"/>
      <c r="U109" s="50"/>
      <c r="V109" s="50"/>
      <c r="W109" s="50"/>
    </row>
    <row r="110" spans="1:23" x14ac:dyDescent="0.25">
      <c r="A110" s="21" t="s">
        <v>3</v>
      </c>
      <c r="B110" s="799" t="s">
        <v>53</v>
      </c>
      <c r="C110" s="799"/>
      <c r="D110" s="799"/>
      <c r="E110" s="799"/>
      <c r="F110" s="799"/>
      <c r="G110" s="799"/>
      <c r="H110" s="799"/>
      <c r="I110" s="799"/>
      <c r="J110" s="799"/>
      <c r="K110" s="799"/>
      <c r="L110" s="799"/>
      <c r="M110" s="799"/>
      <c r="N110" s="799"/>
      <c r="O110" s="799"/>
      <c r="P110" s="799"/>
      <c r="Q110" s="799"/>
      <c r="R110" s="800"/>
      <c r="T110" s="50"/>
      <c r="U110" s="50"/>
      <c r="V110" s="50"/>
      <c r="W110" s="50"/>
    </row>
    <row r="111" spans="1:23" x14ac:dyDescent="0.25">
      <c r="A111" s="21" t="s">
        <v>5</v>
      </c>
      <c r="B111" s="799" t="s">
        <v>55</v>
      </c>
      <c r="C111" s="799"/>
      <c r="D111" s="799"/>
      <c r="E111" s="799"/>
      <c r="F111" s="799"/>
      <c r="G111" s="799"/>
      <c r="H111" s="799"/>
      <c r="I111" s="799"/>
      <c r="J111" s="799"/>
      <c r="K111" s="799"/>
      <c r="L111" s="799"/>
      <c r="M111" s="799"/>
      <c r="N111" s="799"/>
      <c r="O111" s="799"/>
      <c r="P111" s="799"/>
      <c r="Q111" s="799"/>
      <c r="R111" s="800"/>
      <c r="T111" s="50"/>
      <c r="U111" s="50"/>
      <c r="V111" s="50"/>
      <c r="W111" s="50"/>
    </row>
    <row r="112" spans="1:23" x14ac:dyDescent="0.25">
      <c r="A112" s="21" t="s">
        <v>6</v>
      </c>
      <c r="B112" s="799" t="s">
        <v>48</v>
      </c>
      <c r="C112" s="799"/>
      <c r="D112" s="799"/>
      <c r="E112" s="799"/>
      <c r="F112" s="799"/>
      <c r="G112" s="799"/>
      <c r="H112" s="799"/>
      <c r="I112" s="799"/>
      <c r="J112" s="799"/>
      <c r="K112" s="799"/>
      <c r="L112" s="799"/>
      <c r="M112" s="799"/>
      <c r="N112" s="799"/>
      <c r="O112" s="799"/>
      <c r="P112" s="799"/>
      <c r="Q112" s="799"/>
      <c r="R112" s="800"/>
      <c r="T112" s="50"/>
      <c r="U112" s="50"/>
      <c r="V112" s="50"/>
      <c r="W112" s="50"/>
    </row>
    <row r="113" spans="1:23" ht="12.75" customHeight="1" x14ac:dyDescent="0.25">
      <c r="A113" s="21" t="s">
        <v>8</v>
      </c>
      <c r="B113" s="842" t="s">
        <v>44</v>
      </c>
      <c r="C113" s="843"/>
      <c r="D113" s="843"/>
      <c r="E113" s="843"/>
      <c r="F113" s="843"/>
      <c r="G113" s="843"/>
      <c r="H113" s="843"/>
      <c r="I113" s="843"/>
      <c r="J113" s="843"/>
      <c r="K113" s="843"/>
      <c r="L113" s="843"/>
      <c r="M113" s="843"/>
      <c r="N113" s="843"/>
      <c r="O113" s="843"/>
      <c r="P113" s="843"/>
      <c r="Q113" s="843"/>
      <c r="R113" s="844"/>
      <c r="T113" s="50"/>
      <c r="U113" s="50"/>
      <c r="V113" s="50"/>
      <c r="W113" s="50"/>
    </row>
    <row r="114" spans="1:23" ht="12.75" customHeight="1" x14ac:dyDescent="0.25">
      <c r="A114" s="825" t="s">
        <v>10</v>
      </c>
      <c r="B114" s="793" t="s">
        <v>11</v>
      </c>
      <c r="C114" s="813" t="s">
        <v>12</v>
      </c>
      <c r="D114" s="815" t="s">
        <v>361</v>
      </c>
      <c r="E114" s="816"/>
      <c r="F114" s="816"/>
      <c r="G114" s="816"/>
      <c r="H114" s="816"/>
      <c r="I114" s="816"/>
      <c r="J114" s="816"/>
      <c r="K114" s="816"/>
      <c r="L114" s="817"/>
      <c r="M114" s="818" t="s">
        <v>13</v>
      </c>
      <c r="N114" s="811" t="s">
        <v>14</v>
      </c>
      <c r="O114" s="793" t="s">
        <v>15</v>
      </c>
      <c r="P114" s="795" t="s">
        <v>16</v>
      </c>
      <c r="Q114" s="793" t="s">
        <v>17</v>
      </c>
      <c r="R114" s="797" t="s">
        <v>18</v>
      </c>
      <c r="T114" s="50"/>
      <c r="U114" s="50"/>
      <c r="V114" s="50"/>
      <c r="W114" s="50"/>
    </row>
    <row r="115" spans="1:23" ht="31.5" customHeight="1" x14ac:dyDescent="0.25">
      <c r="A115" s="826"/>
      <c r="B115" s="794"/>
      <c r="C115" s="814"/>
      <c r="D115" s="193" t="s">
        <v>366</v>
      </c>
      <c r="E115" s="193" t="s">
        <v>362</v>
      </c>
      <c r="F115" s="193" t="s">
        <v>355</v>
      </c>
      <c r="G115" s="193" t="s">
        <v>357</v>
      </c>
      <c r="H115" s="193" t="s">
        <v>352</v>
      </c>
      <c r="I115" s="193" t="s">
        <v>354</v>
      </c>
      <c r="J115" s="193" t="s">
        <v>353</v>
      </c>
      <c r="K115" s="193" t="s">
        <v>356</v>
      </c>
      <c r="L115" s="193" t="s">
        <v>359</v>
      </c>
      <c r="M115" s="819"/>
      <c r="N115" s="812"/>
      <c r="O115" s="794"/>
      <c r="P115" s="796"/>
      <c r="Q115" s="794"/>
      <c r="R115" s="798"/>
      <c r="T115" s="50"/>
      <c r="U115" s="50"/>
      <c r="V115" s="50"/>
      <c r="W115" s="50"/>
    </row>
    <row r="116" spans="1:23" s="55" customFormat="1" ht="51" x14ac:dyDescent="0.25">
      <c r="A116" s="465" t="s">
        <v>246</v>
      </c>
      <c r="B116" s="245">
        <v>13</v>
      </c>
      <c r="C116" s="462">
        <v>7000000</v>
      </c>
      <c r="D116" s="239">
        <v>0</v>
      </c>
      <c r="E116" s="239">
        <v>0</v>
      </c>
      <c r="F116" s="239">
        <v>0</v>
      </c>
      <c r="G116" s="239">
        <v>0</v>
      </c>
      <c r="H116" s="239">
        <v>0</v>
      </c>
      <c r="I116" s="239">
        <v>0</v>
      </c>
      <c r="J116" s="239">
        <v>0</v>
      </c>
      <c r="K116" s="240">
        <f>J116+I116+H116+G116+F116+E116+D116</f>
        <v>0</v>
      </c>
      <c r="L116" s="240">
        <f>C116-K116</f>
        <v>7000000</v>
      </c>
      <c r="M116" s="15"/>
      <c r="N116" s="10">
        <f>C116-M116</f>
        <v>7000000</v>
      </c>
      <c r="O116" s="11">
        <f>N116/C116</f>
        <v>1</v>
      </c>
      <c r="P116" s="293"/>
      <c r="Q116" s="30"/>
      <c r="R116" s="106"/>
    </row>
    <row r="117" spans="1:23" s="55" customFormat="1" ht="25.5" x14ac:dyDescent="0.25">
      <c r="A117" s="465" t="s">
        <v>247</v>
      </c>
      <c r="B117" s="245">
        <v>1</v>
      </c>
      <c r="C117" s="462">
        <v>7000000</v>
      </c>
      <c r="D117" s="239">
        <v>0</v>
      </c>
      <c r="E117" s="239">
        <v>0</v>
      </c>
      <c r="F117" s="239">
        <v>0</v>
      </c>
      <c r="G117" s="239">
        <v>0</v>
      </c>
      <c r="H117" s="239">
        <v>0</v>
      </c>
      <c r="I117" s="239">
        <v>0</v>
      </c>
      <c r="J117" s="239">
        <v>0</v>
      </c>
      <c r="K117" s="240">
        <f>J117+I117+H117+G117+F117+E117+D117</f>
        <v>0</v>
      </c>
      <c r="L117" s="240">
        <f>C117-K117</f>
        <v>7000000</v>
      </c>
      <c r="M117" s="15"/>
      <c r="N117" s="10">
        <f>C117-M117</f>
        <v>7000000</v>
      </c>
      <c r="O117" s="11">
        <f>N117/C117</f>
        <v>1</v>
      </c>
      <c r="P117" s="293"/>
      <c r="Q117" s="30"/>
      <c r="R117" s="106"/>
    </row>
    <row r="118" spans="1:23" s="55" customFormat="1" ht="47.25" customHeight="1" x14ac:dyDescent="0.25">
      <c r="A118" s="465" t="s">
        <v>248</v>
      </c>
      <c r="B118" s="245">
        <v>1</v>
      </c>
      <c r="C118" s="462">
        <v>7000000</v>
      </c>
      <c r="D118" s="239">
        <v>0</v>
      </c>
      <c r="E118" s="239">
        <v>0</v>
      </c>
      <c r="F118" s="239">
        <v>0</v>
      </c>
      <c r="G118" s="239">
        <v>0</v>
      </c>
      <c r="H118" s="239">
        <v>0</v>
      </c>
      <c r="I118" s="239">
        <v>0</v>
      </c>
      <c r="J118" s="239">
        <v>0</v>
      </c>
      <c r="K118" s="240">
        <f>J118+I118+H118+G118+F118+E118+D118</f>
        <v>0</v>
      </c>
      <c r="L118" s="240">
        <f>C118-K118</f>
        <v>7000000</v>
      </c>
      <c r="M118" s="15"/>
      <c r="N118" s="10">
        <f>C118-M118</f>
        <v>7000000</v>
      </c>
      <c r="O118" s="11">
        <f>N118/C118</f>
        <v>1</v>
      </c>
      <c r="P118" s="293"/>
      <c r="Q118" s="30"/>
      <c r="R118" s="106"/>
    </row>
    <row r="119" spans="1:23" s="55" customFormat="1" ht="51" x14ac:dyDescent="0.25">
      <c r="A119" s="466" t="s">
        <v>588</v>
      </c>
      <c r="B119" s="245">
        <v>1</v>
      </c>
      <c r="C119" s="237">
        <v>7000000</v>
      </c>
      <c r="D119" s="239">
        <v>0</v>
      </c>
      <c r="E119" s="239">
        <v>0</v>
      </c>
      <c r="F119" s="239">
        <v>0</v>
      </c>
      <c r="G119" s="239">
        <v>0</v>
      </c>
      <c r="H119" s="239">
        <v>0</v>
      </c>
      <c r="I119" s="239">
        <v>0</v>
      </c>
      <c r="J119" s="239">
        <v>0</v>
      </c>
      <c r="K119" s="240">
        <f>J119+I119+H119+G119+F119+E119+D119</f>
        <v>0</v>
      </c>
      <c r="L119" s="240">
        <f>C119-K119</f>
        <v>7000000</v>
      </c>
      <c r="M119" s="15"/>
      <c r="N119" s="10">
        <f>C119-M119</f>
        <v>7000000</v>
      </c>
      <c r="O119" s="11">
        <f>N119/C119</f>
        <v>1</v>
      </c>
      <c r="P119" s="293"/>
      <c r="Q119" s="30"/>
      <c r="R119" s="106"/>
    </row>
    <row r="120" spans="1:23" x14ac:dyDescent="0.25">
      <c r="A120" s="21" t="s">
        <v>1</v>
      </c>
      <c r="B120" s="799" t="s">
        <v>45</v>
      </c>
      <c r="C120" s="799"/>
      <c r="D120" s="799"/>
      <c r="E120" s="799"/>
      <c r="F120" s="799"/>
      <c r="G120" s="799"/>
      <c r="H120" s="799"/>
      <c r="I120" s="799"/>
      <c r="J120" s="799"/>
      <c r="K120" s="799"/>
      <c r="L120" s="799"/>
      <c r="M120" s="799"/>
      <c r="N120" s="799"/>
      <c r="O120" s="799"/>
      <c r="P120" s="799"/>
      <c r="Q120" s="799"/>
      <c r="R120" s="800"/>
      <c r="T120" s="50"/>
      <c r="U120" s="50"/>
      <c r="V120" s="50"/>
      <c r="W120" s="50"/>
    </row>
    <row r="121" spans="1:23" x14ac:dyDescent="0.25">
      <c r="A121" s="21" t="s">
        <v>3</v>
      </c>
      <c r="B121" s="799" t="s">
        <v>56</v>
      </c>
      <c r="C121" s="799"/>
      <c r="D121" s="799"/>
      <c r="E121" s="799"/>
      <c r="F121" s="799"/>
      <c r="G121" s="799"/>
      <c r="H121" s="799"/>
      <c r="I121" s="799"/>
      <c r="J121" s="799"/>
      <c r="K121" s="799"/>
      <c r="L121" s="799"/>
      <c r="M121" s="799"/>
      <c r="N121" s="799"/>
      <c r="O121" s="799"/>
      <c r="P121" s="799"/>
      <c r="Q121" s="799"/>
      <c r="R121" s="800"/>
      <c r="T121" s="50"/>
      <c r="U121" s="50"/>
      <c r="V121" s="50"/>
      <c r="W121" s="50"/>
    </row>
    <row r="122" spans="1:23" x14ac:dyDescent="0.25">
      <c r="A122" s="21" t="s">
        <v>5</v>
      </c>
      <c r="B122" s="799" t="s">
        <v>57</v>
      </c>
      <c r="C122" s="799"/>
      <c r="D122" s="799"/>
      <c r="E122" s="799"/>
      <c r="F122" s="799"/>
      <c r="G122" s="799"/>
      <c r="H122" s="799"/>
      <c r="I122" s="799"/>
      <c r="J122" s="799"/>
      <c r="K122" s="799"/>
      <c r="L122" s="799"/>
      <c r="M122" s="799"/>
      <c r="N122" s="799"/>
      <c r="O122" s="799"/>
      <c r="P122" s="799"/>
      <c r="Q122" s="799"/>
      <c r="R122" s="800"/>
      <c r="T122" s="50"/>
      <c r="U122" s="50"/>
      <c r="V122" s="50"/>
      <c r="W122" s="50"/>
    </row>
    <row r="123" spans="1:23" x14ac:dyDescent="0.25">
      <c r="A123" s="21" t="s">
        <v>6</v>
      </c>
      <c r="B123" s="799" t="s">
        <v>48</v>
      </c>
      <c r="C123" s="799"/>
      <c r="D123" s="799"/>
      <c r="E123" s="799"/>
      <c r="F123" s="799"/>
      <c r="G123" s="799"/>
      <c r="H123" s="799"/>
      <c r="I123" s="799"/>
      <c r="J123" s="799"/>
      <c r="K123" s="799"/>
      <c r="L123" s="799"/>
      <c r="M123" s="799"/>
      <c r="N123" s="799"/>
      <c r="O123" s="799"/>
      <c r="P123" s="799"/>
      <c r="Q123" s="799"/>
      <c r="R123" s="800"/>
      <c r="T123" s="50"/>
      <c r="U123" s="50"/>
      <c r="V123" s="50"/>
      <c r="W123" s="50"/>
    </row>
    <row r="124" spans="1:23" x14ac:dyDescent="0.25">
      <c r="A124" s="21" t="s">
        <v>8</v>
      </c>
      <c r="B124" s="799" t="s">
        <v>44</v>
      </c>
      <c r="C124" s="799"/>
      <c r="D124" s="799"/>
      <c r="E124" s="799"/>
      <c r="F124" s="799"/>
      <c r="G124" s="799"/>
      <c r="H124" s="799"/>
      <c r="I124" s="799"/>
      <c r="J124" s="799"/>
      <c r="K124" s="799"/>
      <c r="L124" s="799"/>
      <c r="M124" s="799"/>
      <c r="N124" s="799"/>
      <c r="O124" s="799"/>
      <c r="P124" s="799"/>
      <c r="Q124" s="799"/>
      <c r="R124" s="800"/>
      <c r="T124" s="50"/>
      <c r="U124" s="50"/>
      <c r="V124" s="50"/>
      <c r="W124" s="50"/>
    </row>
    <row r="125" spans="1:23" ht="12.75" customHeight="1" x14ac:dyDescent="0.25">
      <c r="A125" s="825" t="s">
        <v>10</v>
      </c>
      <c r="B125" s="793" t="s">
        <v>11</v>
      </c>
      <c r="C125" s="813" t="s">
        <v>12</v>
      </c>
      <c r="D125" s="815" t="s">
        <v>361</v>
      </c>
      <c r="E125" s="816"/>
      <c r="F125" s="816"/>
      <c r="G125" s="816"/>
      <c r="H125" s="816"/>
      <c r="I125" s="816"/>
      <c r="J125" s="816"/>
      <c r="K125" s="816"/>
      <c r="L125" s="817"/>
      <c r="M125" s="818" t="s">
        <v>13</v>
      </c>
      <c r="N125" s="811" t="s">
        <v>14</v>
      </c>
      <c r="O125" s="793" t="s">
        <v>15</v>
      </c>
      <c r="P125" s="795" t="s">
        <v>16</v>
      </c>
      <c r="Q125" s="793" t="s">
        <v>17</v>
      </c>
      <c r="R125" s="797" t="s">
        <v>18</v>
      </c>
      <c r="T125" s="50"/>
      <c r="U125" s="50"/>
      <c r="V125" s="50"/>
      <c r="W125" s="50"/>
    </row>
    <row r="126" spans="1:23" ht="31.5" customHeight="1" x14ac:dyDescent="0.25">
      <c r="A126" s="826"/>
      <c r="B126" s="794"/>
      <c r="C126" s="814"/>
      <c r="D126" s="193" t="s">
        <v>366</v>
      </c>
      <c r="E126" s="193" t="s">
        <v>362</v>
      </c>
      <c r="F126" s="193" t="s">
        <v>355</v>
      </c>
      <c r="G126" s="193" t="s">
        <v>357</v>
      </c>
      <c r="H126" s="193" t="s">
        <v>352</v>
      </c>
      <c r="I126" s="193" t="s">
        <v>354</v>
      </c>
      <c r="J126" s="193" t="s">
        <v>353</v>
      </c>
      <c r="K126" s="193" t="s">
        <v>356</v>
      </c>
      <c r="L126" s="193" t="s">
        <v>359</v>
      </c>
      <c r="M126" s="819"/>
      <c r="N126" s="812"/>
      <c r="O126" s="794"/>
      <c r="P126" s="796"/>
      <c r="Q126" s="794"/>
      <c r="R126" s="798"/>
      <c r="T126" s="50"/>
      <c r="U126" s="50"/>
      <c r="V126" s="50"/>
      <c r="W126" s="50"/>
    </row>
    <row r="127" spans="1:23" ht="31.5" customHeight="1" x14ac:dyDescent="0.25">
      <c r="A127" s="475" t="s">
        <v>58</v>
      </c>
      <c r="B127" s="286">
        <v>14</v>
      </c>
      <c r="C127" s="462">
        <v>15000000</v>
      </c>
      <c r="D127" s="239">
        <v>0</v>
      </c>
      <c r="E127" s="239">
        <v>0</v>
      </c>
      <c r="F127" s="239">
        <v>0</v>
      </c>
      <c r="G127" s="239">
        <v>0</v>
      </c>
      <c r="H127" s="239">
        <v>0</v>
      </c>
      <c r="I127" s="239">
        <v>0</v>
      </c>
      <c r="J127" s="239">
        <v>0</v>
      </c>
      <c r="K127" s="240">
        <f>J127+I127+H127+G127+F127+E127+D127</f>
        <v>0</v>
      </c>
      <c r="L127" s="240">
        <f>C127-K127</f>
        <v>15000000</v>
      </c>
      <c r="M127" s="15"/>
      <c r="N127" s="10">
        <f>C127-M127</f>
        <v>15000000</v>
      </c>
      <c r="O127" s="11">
        <f>N127/C127</f>
        <v>1</v>
      </c>
      <c r="P127" s="293"/>
      <c r="Q127" s="30"/>
      <c r="R127" s="106"/>
      <c r="T127" s="50"/>
      <c r="U127" s="50"/>
      <c r="V127" s="50"/>
      <c r="W127" s="50"/>
    </row>
    <row r="128" spans="1:23" ht="31.5" customHeight="1" x14ac:dyDescent="0.25">
      <c r="A128" s="475" t="s">
        <v>589</v>
      </c>
      <c r="B128" s="286">
        <v>1</v>
      </c>
      <c r="C128" s="460">
        <v>5000000</v>
      </c>
      <c r="D128" s="239">
        <v>0</v>
      </c>
      <c r="E128" s="239">
        <v>0</v>
      </c>
      <c r="F128" s="239">
        <v>0</v>
      </c>
      <c r="G128" s="239">
        <v>0</v>
      </c>
      <c r="H128" s="239">
        <v>0</v>
      </c>
      <c r="I128" s="239">
        <v>0</v>
      </c>
      <c r="J128" s="239">
        <v>0</v>
      </c>
      <c r="K128" s="240">
        <f>J128+I128+H128+G128+F128+E128+D128</f>
        <v>0</v>
      </c>
      <c r="L128" s="240">
        <f>C128-K128</f>
        <v>5000000</v>
      </c>
      <c r="M128" s="15"/>
      <c r="N128" s="10">
        <f>C128-M128</f>
        <v>5000000</v>
      </c>
      <c r="O128" s="11">
        <f>N128/C128</f>
        <v>1</v>
      </c>
      <c r="P128" s="293"/>
      <c r="Q128" s="30"/>
      <c r="R128" s="106"/>
      <c r="T128" s="50"/>
      <c r="U128" s="50"/>
      <c r="V128" s="50"/>
      <c r="W128" s="50"/>
    </row>
    <row r="129" spans="1:23" ht="31.5" customHeight="1" x14ac:dyDescent="0.25">
      <c r="A129" s="475" t="s">
        <v>590</v>
      </c>
      <c r="B129" s="286">
        <v>2</v>
      </c>
      <c r="C129" s="460">
        <v>10000000</v>
      </c>
      <c r="D129" s="239">
        <v>0</v>
      </c>
      <c r="E129" s="239">
        <v>0</v>
      </c>
      <c r="F129" s="239">
        <v>0</v>
      </c>
      <c r="G129" s="239">
        <v>0</v>
      </c>
      <c r="H129" s="239">
        <v>0</v>
      </c>
      <c r="I129" s="239">
        <v>0</v>
      </c>
      <c r="J129" s="239">
        <v>0</v>
      </c>
      <c r="K129" s="240">
        <f>J129+I129+H129+G129+F129+E129+D129</f>
        <v>0</v>
      </c>
      <c r="L129" s="240">
        <f>C129-K129</f>
        <v>10000000</v>
      </c>
      <c r="M129" s="15"/>
      <c r="N129" s="10">
        <f>C129-M129</f>
        <v>10000000</v>
      </c>
      <c r="O129" s="11">
        <f>N129/C129</f>
        <v>1</v>
      </c>
      <c r="P129" s="293"/>
      <c r="Q129" s="30"/>
      <c r="R129" s="106"/>
      <c r="T129" s="50"/>
      <c r="U129" s="50"/>
      <c r="V129" s="50"/>
      <c r="W129" s="50"/>
    </row>
    <row r="130" spans="1:23" s="55" customFormat="1" ht="14.25" x14ac:dyDescent="0.25">
      <c r="A130" s="475" t="s">
        <v>591</v>
      </c>
      <c r="B130" s="286">
        <v>5</v>
      </c>
      <c r="C130" s="460">
        <v>17000000</v>
      </c>
      <c r="D130" s="239">
        <v>0</v>
      </c>
      <c r="E130" s="239">
        <v>0</v>
      </c>
      <c r="F130" s="239">
        <v>0</v>
      </c>
      <c r="G130" s="239">
        <v>0</v>
      </c>
      <c r="H130" s="239">
        <v>0</v>
      </c>
      <c r="I130" s="239">
        <v>0</v>
      </c>
      <c r="J130" s="239">
        <v>0</v>
      </c>
      <c r="K130" s="240">
        <f>J130+I130+H130+G130+F130+E130+D130</f>
        <v>0</v>
      </c>
      <c r="L130" s="240">
        <f>C130-K130</f>
        <v>17000000</v>
      </c>
      <c r="M130" s="15"/>
      <c r="N130" s="10">
        <f>C130-M130</f>
        <v>17000000</v>
      </c>
      <c r="O130" s="11">
        <f>N130/C130</f>
        <v>1</v>
      </c>
      <c r="P130" s="293"/>
      <c r="Q130" s="30"/>
      <c r="R130" s="106"/>
    </row>
    <row r="131" spans="1:23" s="55" customFormat="1" ht="28.5" x14ac:dyDescent="0.25">
      <c r="A131" s="475" t="s">
        <v>592</v>
      </c>
      <c r="B131" s="286">
        <v>7</v>
      </c>
      <c r="C131" s="242">
        <v>12000000</v>
      </c>
      <c r="D131" s="239">
        <v>0</v>
      </c>
      <c r="E131" s="239">
        <v>0</v>
      </c>
      <c r="F131" s="239">
        <v>0</v>
      </c>
      <c r="G131" s="239">
        <v>0</v>
      </c>
      <c r="H131" s="239">
        <v>0</v>
      </c>
      <c r="I131" s="239">
        <v>0</v>
      </c>
      <c r="J131" s="239">
        <v>0</v>
      </c>
      <c r="K131" s="240">
        <f>J131+I131+H131+G131+F131+E131+D131</f>
        <v>0</v>
      </c>
      <c r="L131" s="240">
        <f>C131-K131</f>
        <v>12000000</v>
      </c>
      <c r="M131" s="15"/>
      <c r="N131" s="10">
        <f>C131-M131</f>
        <v>12000000</v>
      </c>
      <c r="O131" s="11">
        <f>N131/C131</f>
        <v>1</v>
      </c>
      <c r="P131" s="293"/>
      <c r="Q131" s="30"/>
      <c r="R131" s="106"/>
    </row>
    <row r="132" spans="1:23" s="55" customFormat="1" x14ac:dyDescent="0.25">
      <c r="A132" s="21" t="s">
        <v>25</v>
      </c>
      <c r="B132" s="809" t="s">
        <v>45</v>
      </c>
      <c r="C132" s="809"/>
      <c r="D132" s="809"/>
      <c r="E132" s="809"/>
      <c r="F132" s="809"/>
      <c r="G132" s="809"/>
      <c r="H132" s="809"/>
      <c r="I132" s="809"/>
      <c r="J132" s="809"/>
      <c r="K132" s="809"/>
      <c r="L132" s="809"/>
      <c r="M132" s="809"/>
      <c r="N132" s="809"/>
      <c r="O132" s="809"/>
      <c r="P132" s="809"/>
      <c r="Q132" s="809"/>
      <c r="R132" s="810"/>
    </row>
    <row r="133" spans="1:23" s="55" customFormat="1" x14ac:dyDescent="0.25">
      <c r="A133" s="21" t="s">
        <v>3</v>
      </c>
      <c r="B133" s="809"/>
      <c r="C133" s="809"/>
      <c r="D133" s="809"/>
      <c r="E133" s="809"/>
      <c r="F133" s="809"/>
      <c r="G133" s="809"/>
      <c r="H133" s="809"/>
      <c r="I133" s="809"/>
      <c r="J133" s="809"/>
      <c r="K133" s="809"/>
      <c r="L133" s="809"/>
      <c r="M133" s="809"/>
      <c r="N133" s="809"/>
      <c r="O133" s="809"/>
      <c r="P133" s="809"/>
      <c r="Q133" s="809"/>
      <c r="R133" s="810"/>
    </row>
    <row r="134" spans="1:23" s="55" customFormat="1" x14ac:dyDescent="0.25">
      <c r="A134" s="21" t="s">
        <v>5</v>
      </c>
      <c r="B134" s="799" t="s">
        <v>593</v>
      </c>
      <c r="C134" s="799"/>
      <c r="D134" s="799"/>
      <c r="E134" s="799"/>
      <c r="F134" s="799"/>
      <c r="G134" s="799"/>
      <c r="H134" s="799"/>
      <c r="I134" s="799"/>
      <c r="J134" s="799"/>
      <c r="K134" s="799"/>
      <c r="L134" s="799"/>
      <c r="M134" s="799"/>
      <c r="N134" s="799"/>
      <c r="O134" s="799"/>
      <c r="P134" s="799"/>
      <c r="Q134" s="799"/>
      <c r="R134" s="800"/>
    </row>
    <row r="135" spans="1:23" s="55" customFormat="1" x14ac:dyDescent="0.25">
      <c r="A135" s="21" t="s">
        <v>6</v>
      </c>
      <c r="B135" s="799" t="s">
        <v>48</v>
      </c>
      <c r="C135" s="799"/>
      <c r="D135" s="799"/>
      <c r="E135" s="799"/>
      <c r="F135" s="799"/>
      <c r="G135" s="799"/>
      <c r="H135" s="799"/>
      <c r="I135" s="799"/>
      <c r="J135" s="799"/>
      <c r="K135" s="799"/>
      <c r="L135" s="799"/>
      <c r="M135" s="799"/>
      <c r="N135" s="799"/>
      <c r="O135" s="799"/>
      <c r="P135" s="799"/>
      <c r="Q135" s="799"/>
      <c r="R135" s="800"/>
    </row>
    <row r="136" spans="1:23" s="55" customFormat="1" x14ac:dyDescent="0.25">
      <c r="A136" s="21" t="s">
        <v>8</v>
      </c>
      <c r="B136" s="799" t="s">
        <v>44</v>
      </c>
      <c r="C136" s="799"/>
      <c r="D136" s="799"/>
      <c r="E136" s="799"/>
      <c r="F136" s="799"/>
      <c r="G136" s="799"/>
      <c r="H136" s="799"/>
      <c r="I136" s="799"/>
      <c r="J136" s="799"/>
      <c r="K136" s="799"/>
      <c r="L136" s="799"/>
      <c r="M136" s="799"/>
      <c r="N136" s="799"/>
      <c r="O136" s="799"/>
      <c r="P136" s="799"/>
      <c r="Q136" s="799"/>
      <c r="R136" s="800"/>
    </row>
    <row r="137" spans="1:23" s="55" customFormat="1" x14ac:dyDescent="0.25">
      <c r="A137" s="825" t="s">
        <v>10</v>
      </c>
      <c r="B137" s="793" t="s">
        <v>11</v>
      </c>
      <c r="C137" s="813" t="s">
        <v>12</v>
      </c>
      <c r="D137" s="815" t="s">
        <v>361</v>
      </c>
      <c r="E137" s="816"/>
      <c r="F137" s="816"/>
      <c r="G137" s="816"/>
      <c r="H137" s="816"/>
      <c r="I137" s="816"/>
      <c r="J137" s="816"/>
      <c r="K137" s="816"/>
      <c r="L137" s="817"/>
      <c r="M137" s="818" t="s">
        <v>13</v>
      </c>
      <c r="N137" s="811" t="s">
        <v>14</v>
      </c>
      <c r="O137" s="793" t="s">
        <v>15</v>
      </c>
      <c r="P137" s="795" t="s">
        <v>16</v>
      </c>
      <c r="Q137" s="793" t="s">
        <v>17</v>
      </c>
      <c r="R137" s="797" t="s">
        <v>18</v>
      </c>
    </row>
    <row r="138" spans="1:23" s="55" customFormat="1" ht="25.5" x14ac:dyDescent="0.25">
      <c r="A138" s="826"/>
      <c r="B138" s="794"/>
      <c r="C138" s="814"/>
      <c r="D138" s="193" t="s">
        <v>366</v>
      </c>
      <c r="E138" s="193" t="s">
        <v>362</v>
      </c>
      <c r="F138" s="193" t="s">
        <v>355</v>
      </c>
      <c r="G138" s="193" t="s">
        <v>357</v>
      </c>
      <c r="H138" s="193" t="s">
        <v>352</v>
      </c>
      <c r="I138" s="193" t="s">
        <v>354</v>
      </c>
      <c r="J138" s="193" t="s">
        <v>353</v>
      </c>
      <c r="K138" s="193" t="s">
        <v>356</v>
      </c>
      <c r="L138" s="193" t="s">
        <v>359</v>
      </c>
      <c r="M138" s="819"/>
      <c r="N138" s="812"/>
      <c r="O138" s="794"/>
      <c r="P138" s="796"/>
      <c r="Q138" s="794"/>
      <c r="R138" s="798"/>
    </row>
    <row r="139" spans="1:23" s="55" customFormat="1" ht="63.75" x14ac:dyDescent="0.25">
      <c r="A139" s="457" t="s">
        <v>594</v>
      </c>
      <c r="B139" s="286">
        <v>200</v>
      </c>
      <c r="C139" s="462">
        <v>10000000</v>
      </c>
      <c r="D139" s="193"/>
      <c r="E139" s="193"/>
      <c r="F139" s="193"/>
      <c r="G139" s="193"/>
      <c r="H139" s="193"/>
      <c r="I139" s="193"/>
      <c r="J139" s="193"/>
      <c r="K139" s="193"/>
      <c r="L139" s="193"/>
      <c r="M139" s="469"/>
      <c r="N139" s="470"/>
      <c r="O139" s="471"/>
      <c r="P139" s="472"/>
      <c r="Q139" s="471"/>
      <c r="R139" s="473"/>
    </row>
    <row r="140" spans="1:23" x14ac:dyDescent="0.25">
      <c r="A140" s="851" t="s">
        <v>60</v>
      </c>
      <c r="B140" s="852"/>
      <c r="C140" s="195">
        <f>SUM(C65:C139)</f>
        <v>1215976826</v>
      </c>
      <c r="D140" s="195"/>
      <c r="E140" s="195"/>
      <c r="F140" s="195"/>
      <c r="G140" s="195"/>
      <c r="H140" s="195"/>
      <c r="I140" s="195"/>
      <c r="J140" s="195"/>
      <c r="K140" s="195">
        <f>SUM(K65:K131)</f>
        <v>0</v>
      </c>
      <c r="L140" s="195">
        <f>SUM(L65:L131)</f>
        <v>1188976826</v>
      </c>
      <c r="M140" s="16">
        <f>SUM(M65:M131)</f>
        <v>0</v>
      </c>
      <c r="N140" s="17">
        <f>C140-M140</f>
        <v>1215976826</v>
      </c>
      <c r="O140" s="18">
        <f>N140/C140</f>
        <v>1</v>
      </c>
      <c r="P140" s="19"/>
      <c r="Q140" s="20"/>
      <c r="R140" s="105"/>
      <c r="T140" s="50"/>
      <c r="U140" s="50"/>
      <c r="V140" s="50"/>
      <c r="W140" s="50"/>
    </row>
    <row r="141" spans="1:23" x14ac:dyDescent="0.25">
      <c r="A141" s="845" t="s">
        <v>61</v>
      </c>
      <c r="B141" s="846"/>
      <c r="C141" s="846"/>
      <c r="D141" s="846"/>
      <c r="E141" s="846"/>
      <c r="F141" s="846"/>
      <c r="G141" s="846"/>
      <c r="H141" s="846"/>
      <c r="I141" s="846"/>
      <c r="J141" s="846"/>
      <c r="K141" s="846"/>
      <c r="L141" s="846"/>
      <c r="M141" s="846"/>
      <c r="N141" s="846"/>
      <c r="O141" s="846"/>
      <c r="P141" s="846"/>
      <c r="Q141" s="846"/>
      <c r="R141" s="847"/>
      <c r="T141" s="50"/>
      <c r="U141" s="50"/>
      <c r="V141" s="50"/>
      <c r="W141" s="50"/>
    </row>
    <row r="142" spans="1:23" x14ac:dyDescent="0.25">
      <c r="A142" s="21" t="s">
        <v>25</v>
      </c>
      <c r="B142" s="809" t="s">
        <v>43</v>
      </c>
      <c r="C142" s="809"/>
      <c r="D142" s="809"/>
      <c r="E142" s="809"/>
      <c r="F142" s="809"/>
      <c r="G142" s="809"/>
      <c r="H142" s="809"/>
      <c r="I142" s="809"/>
      <c r="J142" s="809"/>
      <c r="K142" s="809"/>
      <c r="L142" s="809"/>
      <c r="M142" s="809"/>
      <c r="N142" s="809"/>
      <c r="O142" s="809"/>
      <c r="P142" s="809"/>
      <c r="Q142" s="809"/>
      <c r="R142" s="810"/>
      <c r="T142" s="50"/>
      <c r="U142" s="50"/>
      <c r="V142" s="50"/>
      <c r="W142" s="50"/>
    </row>
    <row r="143" spans="1:23" x14ac:dyDescent="0.25">
      <c r="A143" s="21" t="s">
        <v>3</v>
      </c>
      <c r="B143" s="809" t="s">
        <v>27</v>
      </c>
      <c r="C143" s="809"/>
      <c r="D143" s="809"/>
      <c r="E143" s="809"/>
      <c r="F143" s="809"/>
      <c r="G143" s="809"/>
      <c r="H143" s="809"/>
      <c r="I143" s="809"/>
      <c r="J143" s="809"/>
      <c r="K143" s="809"/>
      <c r="L143" s="809"/>
      <c r="M143" s="809"/>
      <c r="N143" s="809"/>
      <c r="O143" s="809"/>
      <c r="P143" s="809"/>
      <c r="Q143" s="809"/>
      <c r="R143" s="810"/>
      <c r="T143" s="50"/>
      <c r="U143" s="50"/>
      <c r="V143" s="50"/>
      <c r="W143" s="50"/>
    </row>
    <row r="144" spans="1:23" x14ac:dyDescent="0.25">
      <c r="A144" s="21" t="s">
        <v>5</v>
      </c>
      <c r="B144" s="799" t="s">
        <v>66</v>
      </c>
      <c r="C144" s="799"/>
      <c r="D144" s="799"/>
      <c r="E144" s="799"/>
      <c r="F144" s="799"/>
      <c r="G144" s="799"/>
      <c r="H144" s="799"/>
      <c r="I144" s="799"/>
      <c r="J144" s="799"/>
      <c r="K144" s="799"/>
      <c r="L144" s="799"/>
      <c r="M144" s="799"/>
      <c r="N144" s="799"/>
      <c r="O144" s="799"/>
      <c r="P144" s="799"/>
      <c r="Q144" s="799"/>
      <c r="R144" s="800"/>
      <c r="T144" s="50"/>
      <c r="U144" s="50"/>
      <c r="V144" s="50"/>
      <c r="W144" s="50"/>
    </row>
    <row r="145" spans="1:23" x14ac:dyDescent="0.25">
      <c r="A145" s="21" t="s">
        <v>6</v>
      </c>
      <c r="B145" s="799" t="s">
        <v>64</v>
      </c>
      <c r="C145" s="799"/>
      <c r="D145" s="799"/>
      <c r="E145" s="799"/>
      <c r="F145" s="799"/>
      <c r="G145" s="799"/>
      <c r="H145" s="799"/>
      <c r="I145" s="799"/>
      <c r="J145" s="799"/>
      <c r="K145" s="799"/>
      <c r="L145" s="799"/>
      <c r="M145" s="799"/>
      <c r="N145" s="799"/>
      <c r="O145" s="799"/>
      <c r="P145" s="799"/>
      <c r="Q145" s="799"/>
      <c r="R145" s="800"/>
      <c r="T145" s="50"/>
      <c r="U145" s="50"/>
      <c r="V145" s="50"/>
      <c r="W145" s="50"/>
    </row>
    <row r="146" spans="1:23" x14ac:dyDescent="0.25">
      <c r="A146" s="21" t="s">
        <v>8</v>
      </c>
      <c r="B146" s="799" t="s">
        <v>65</v>
      </c>
      <c r="C146" s="799"/>
      <c r="D146" s="799"/>
      <c r="E146" s="799"/>
      <c r="F146" s="799"/>
      <c r="G146" s="799"/>
      <c r="H146" s="799"/>
      <c r="I146" s="799"/>
      <c r="J146" s="799"/>
      <c r="K146" s="799"/>
      <c r="L146" s="799"/>
      <c r="M146" s="799"/>
      <c r="N146" s="799"/>
      <c r="O146" s="799"/>
      <c r="P146" s="799"/>
      <c r="Q146" s="799"/>
      <c r="R146" s="800"/>
      <c r="T146" s="50"/>
      <c r="U146" s="50"/>
      <c r="V146" s="50"/>
      <c r="W146" s="50"/>
    </row>
    <row r="147" spans="1:23" ht="12.75" customHeight="1" x14ac:dyDescent="0.25">
      <c r="A147" s="825" t="s">
        <v>10</v>
      </c>
      <c r="B147" s="793" t="s">
        <v>11</v>
      </c>
      <c r="C147" s="813" t="s">
        <v>12</v>
      </c>
      <c r="D147" s="815" t="s">
        <v>361</v>
      </c>
      <c r="E147" s="816"/>
      <c r="F147" s="816"/>
      <c r="G147" s="816"/>
      <c r="H147" s="816"/>
      <c r="I147" s="816"/>
      <c r="J147" s="816"/>
      <c r="K147" s="816"/>
      <c r="L147" s="817"/>
      <c r="M147" s="818" t="s">
        <v>13</v>
      </c>
      <c r="N147" s="811" t="s">
        <v>14</v>
      </c>
      <c r="O147" s="793" t="s">
        <v>15</v>
      </c>
      <c r="P147" s="795" t="s">
        <v>16</v>
      </c>
      <c r="Q147" s="793" t="s">
        <v>17</v>
      </c>
      <c r="R147" s="797" t="s">
        <v>18</v>
      </c>
      <c r="T147" s="50"/>
      <c r="U147" s="50"/>
      <c r="V147" s="50"/>
      <c r="W147" s="50"/>
    </row>
    <row r="148" spans="1:23" ht="27.75" customHeight="1" x14ac:dyDescent="0.25">
      <c r="A148" s="826"/>
      <c r="B148" s="794"/>
      <c r="C148" s="814"/>
      <c r="D148" s="193" t="s">
        <v>366</v>
      </c>
      <c r="E148" s="193" t="s">
        <v>362</v>
      </c>
      <c r="F148" s="193" t="s">
        <v>355</v>
      </c>
      <c r="G148" s="193" t="s">
        <v>357</v>
      </c>
      <c r="H148" s="193" t="s">
        <v>352</v>
      </c>
      <c r="I148" s="193" t="s">
        <v>354</v>
      </c>
      <c r="J148" s="193" t="s">
        <v>353</v>
      </c>
      <c r="K148" s="193" t="s">
        <v>356</v>
      </c>
      <c r="L148" s="193" t="s">
        <v>359</v>
      </c>
      <c r="M148" s="819"/>
      <c r="N148" s="812"/>
      <c r="O148" s="794"/>
      <c r="P148" s="796"/>
      <c r="Q148" s="794"/>
      <c r="R148" s="798"/>
      <c r="T148" s="50"/>
      <c r="U148" s="50"/>
      <c r="V148" s="50"/>
      <c r="W148" s="50"/>
    </row>
    <row r="149" spans="1:23" s="55" customFormat="1" ht="114.75" x14ac:dyDescent="0.25">
      <c r="A149" s="145" t="s">
        <v>600</v>
      </c>
      <c r="B149" s="126">
        <f>C149+E149+G149+I149+K149+M149+O149+Q149+S149+U149+W149+Y149</f>
        <v>80000001</v>
      </c>
      <c r="C149" s="476">
        <v>80000000</v>
      </c>
      <c r="D149" s="239">
        <v>0</v>
      </c>
      <c r="E149" s="239">
        <v>0</v>
      </c>
      <c r="F149" s="239">
        <v>0</v>
      </c>
      <c r="G149" s="239">
        <v>0</v>
      </c>
      <c r="H149" s="239">
        <v>0</v>
      </c>
      <c r="I149" s="239">
        <v>0</v>
      </c>
      <c r="J149" s="239">
        <v>0</v>
      </c>
      <c r="K149" s="240">
        <f>J149+I149+H149+G149+F149+E149+D149</f>
        <v>0</v>
      </c>
      <c r="L149" s="240">
        <f>C149-K149</f>
        <v>80000000</v>
      </c>
      <c r="M149" s="15"/>
      <c r="N149" s="10">
        <f>C149-M149</f>
        <v>80000000</v>
      </c>
      <c r="O149" s="11">
        <f>N149/C149</f>
        <v>1</v>
      </c>
      <c r="P149" s="292"/>
      <c r="Q149" s="30"/>
      <c r="R149" s="106"/>
    </row>
    <row r="150" spans="1:23" s="55" customFormat="1" ht="140.25" x14ac:dyDescent="0.25">
      <c r="A150" s="477" t="s">
        <v>601</v>
      </c>
      <c r="B150" s="126">
        <v>2</v>
      </c>
      <c r="C150" s="476">
        <v>100000000</v>
      </c>
      <c r="D150" s="239">
        <v>0</v>
      </c>
      <c r="E150" s="239">
        <v>0</v>
      </c>
      <c r="F150" s="239">
        <v>0</v>
      </c>
      <c r="G150" s="239">
        <v>0</v>
      </c>
      <c r="H150" s="239">
        <v>0</v>
      </c>
      <c r="I150" s="239">
        <v>0</v>
      </c>
      <c r="J150" s="239">
        <v>0</v>
      </c>
      <c r="K150" s="240">
        <f>J150+I150+H150+G150+F150+E150+D150</f>
        <v>0</v>
      </c>
      <c r="L150" s="240">
        <f>C150-K150</f>
        <v>100000000</v>
      </c>
      <c r="M150" s="15"/>
      <c r="N150" s="10">
        <f>C150-M150</f>
        <v>100000000</v>
      </c>
      <c r="O150" s="11">
        <f>N150/C150</f>
        <v>1</v>
      </c>
      <c r="P150" s="292"/>
      <c r="Q150" s="30"/>
      <c r="R150" s="106"/>
    </row>
    <row r="151" spans="1:23" s="55" customFormat="1" ht="63.75" x14ac:dyDescent="0.25">
      <c r="A151" s="478" t="s">
        <v>602</v>
      </c>
      <c r="B151" s="126">
        <v>25</v>
      </c>
      <c r="C151" s="476">
        <v>20000000</v>
      </c>
      <c r="D151" s="239">
        <v>0</v>
      </c>
      <c r="E151" s="239">
        <v>0</v>
      </c>
      <c r="F151" s="239">
        <v>0</v>
      </c>
      <c r="G151" s="239">
        <v>0</v>
      </c>
      <c r="H151" s="239">
        <v>0</v>
      </c>
      <c r="I151" s="239">
        <v>0</v>
      </c>
      <c r="J151" s="239">
        <v>0</v>
      </c>
      <c r="K151" s="240">
        <f>J151+I151+H151+G151+F151+E151+D151</f>
        <v>0</v>
      </c>
      <c r="L151" s="240">
        <f>C151-K151</f>
        <v>20000000</v>
      </c>
      <c r="M151" s="15"/>
      <c r="N151" s="10">
        <f>C151-M151</f>
        <v>20000000</v>
      </c>
      <c r="O151" s="11">
        <f>N151/C151</f>
        <v>1</v>
      </c>
      <c r="P151" s="292"/>
      <c r="Q151" s="30"/>
      <c r="R151" s="106"/>
      <c r="T151" s="56"/>
      <c r="U151" s="56"/>
      <c r="V151" s="56"/>
      <c r="W151" s="56"/>
    </row>
    <row r="152" spans="1:23" s="55" customFormat="1" ht="36" customHeight="1" x14ac:dyDescent="0.25">
      <c r="A152" s="866" t="s">
        <v>603</v>
      </c>
      <c r="B152" s="126">
        <v>7</v>
      </c>
      <c r="C152" s="476">
        <v>221848002</v>
      </c>
      <c r="D152" s="239">
        <v>0</v>
      </c>
      <c r="E152" s="239">
        <v>0</v>
      </c>
      <c r="F152" s="239">
        <v>0</v>
      </c>
      <c r="G152" s="239">
        <v>0</v>
      </c>
      <c r="H152" s="239">
        <v>0</v>
      </c>
      <c r="I152" s="239">
        <v>0</v>
      </c>
      <c r="J152" s="239">
        <v>0</v>
      </c>
      <c r="K152" s="240">
        <f>J152+I152+H152+G152+F152+E152+D152</f>
        <v>0</v>
      </c>
      <c r="L152" s="240">
        <f>C152-K152</f>
        <v>221848002</v>
      </c>
      <c r="M152" s="15"/>
      <c r="N152" s="10">
        <f>C152-M152</f>
        <v>221848002</v>
      </c>
      <c r="O152" s="11">
        <f>N152/C152</f>
        <v>1</v>
      </c>
      <c r="P152" s="381"/>
      <c r="Q152" s="30"/>
      <c r="R152" s="106"/>
      <c r="T152" s="56"/>
      <c r="U152" s="56"/>
      <c r="V152" s="56"/>
      <c r="W152" s="56"/>
    </row>
    <row r="153" spans="1:23" s="55" customFormat="1" ht="45" customHeight="1" x14ac:dyDescent="0.25">
      <c r="A153" s="867"/>
      <c r="B153" s="126">
        <v>3290</v>
      </c>
      <c r="C153" s="476">
        <v>40000000</v>
      </c>
      <c r="D153" s="239">
        <v>0</v>
      </c>
      <c r="E153" s="239">
        <v>0</v>
      </c>
      <c r="F153" s="239">
        <v>0</v>
      </c>
      <c r="G153" s="239">
        <v>0</v>
      </c>
      <c r="H153" s="239">
        <v>0</v>
      </c>
      <c r="I153" s="239">
        <v>0</v>
      </c>
      <c r="J153" s="239">
        <v>0</v>
      </c>
      <c r="K153" s="240">
        <f>J153+I153+H153+G153+F153+E153+D153</f>
        <v>0</v>
      </c>
      <c r="L153" s="240">
        <f>C153-K153</f>
        <v>40000000</v>
      </c>
      <c r="M153" s="15"/>
      <c r="N153" s="10">
        <f>C153-M153</f>
        <v>40000000</v>
      </c>
      <c r="O153" s="11">
        <f>N153/C153</f>
        <v>1</v>
      </c>
      <c r="P153" s="293"/>
      <c r="Q153" s="30"/>
      <c r="R153" s="106"/>
      <c r="T153" s="56"/>
      <c r="U153" s="56"/>
      <c r="V153" s="56"/>
      <c r="W153" s="56"/>
    </row>
    <row r="154" spans="1:23" ht="14.85" customHeight="1" x14ac:dyDescent="0.25">
      <c r="A154" s="21" t="s">
        <v>25</v>
      </c>
      <c r="B154" s="809" t="s">
        <v>43</v>
      </c>
      <c r="C154" s="809"/>
      <c r="D154" s="809"/>
      <c r="E154" s="809"/>
      <c r="F154" s="809"/>
      <c r="G154" s="809"/>
      <c r="H154" s="809"/>
      <c r="I154" s="809"/>
      <c r="J154" s="809"/>
      <c r="K154" s="809"/>
      <c r="L154" s="809"/>
      <c r="M154" s="809"/>
      <c r="N154" s="809"/>
      <c r="O154" s="809"/>
      <c r="P154" s="809"/>
      <c r="Q154" s="809"/>
      <c r="R154" s="810"/>
      <c r="T154" s="50"/>
      <c r="U154" s="50"/>
      <c r="V154" s="50"/>
      <c r="W154" s="50"/>
    </row>
    <row r="155" spans="1:23" ht="14.85" customHeight="1" x14ac:dyDescent="0.25">
      <c r="A155" s="21" t="s">
        <v>3</v>
      </c>
      <c r="B155" s="809" t="s">
        <v>27</v>
      </c>
      <c r="C155" s="809"/>
      <c r="D155" s="809"/>
      <c r="E155" s="809"/>
      <c r="F155" s="809"/>
      <c r="G155" s="809"/>
      <c r="H155" s="809"/>
      <c r="I155" s="809"/>
      <c r="J155" s="809"/>
      <c r="K155" s="809"/>
      <c r="L155" s="809"/>
      <c r="M155" s="809"/>
      <c r="N155" s="809"/>
      <c r="O155" s="809"/>
      <c r="P155" s="809"/>
      <c r="Q155" s="809"/>
      <c r="R155" s="810"/>
      <c r="T155" s="50"/>
      <c r="U155" s="50"/>
      <c r="V155" s="50"/>
      <c r="W155" s="50"/>
    </row>
    <row r="156" spans="1:23" x14ac:dyDescent="0.25">
      <c r="A156" s="21" t="s">
        <v>5</v>
      </c>
      <c r="B156" s="799" t="s">
        <v>68</v>
      </c>
      <c r="C156" s="799"/>
      <c r="D156" s="799"/>
      <c r="E156" s="799"/>
      <c r="F156" s="799"/>
      <c r="G156" s="799"/>
      <c r="H156" s="799"/>
      <c r="I156" s="799"/>
      <c r="J156" s="799"/>
      <c r="K156" s="799"/>
      <c r="L156" s="799"/>
      <c r="M156" s="799"/>
      <c r="N156" s="799"/>
      <c r="O156" s="799"/>
      <c r="P156" s="799"/>
      <c r="Q156" s="799"/>
      <c r="R156" s="800"/>
      <c r="T156" s="50"/>
      <c r="U156" s="50"/>
      <c r="V156" s="50"/>
      <c r="W156" s="50"/>
    </row>
    <row r="157" spans="1:23" x14ac:dyDescent="0.25">
      <c r="A157" s="21" t="s">
        <v>6</v>
      </c>
      <c r="B157" s="799" t="s">
        <v>64</v>
      </c>
      <c r="C157" s="799"/>
      <c r="D157" s="799"/>
      <c r="E157" s="799"/>
      <c r="F157" s="799"/>
      <c r="G157" s="799"/>
      <c r="H157" s="799"/>
      <c r="I157" s="799"/>
      <c r="J157" s="799"/>
      <c r="K157" s="799"/>
      <c r="L157" s="799"/>
      <c r="M157" s="799"/>
      <c r="N157" s="799"/>
      <c r="O157" s="799"/>
      <c r="P157" s="799"/>
      <c r="Q157" s="799"/>
      <c r="R157" s="800"/>
      <c r="T157" s="50"/>
      <c r="U157" s="50"/>
      <c r="V157" s="50"/>
      <c r="W157" s="50"/>
    </row>
    <row r="158" spans="1:23" x14ac:dyDescent="0.25">
      <c r="A158" s="21" t="s">
        <v>8</v>
      </c>
      <c r="B158" s="799" t="s">
        <v>65</v>
      </c>
      <c r="C158" s="799"/>
      <c r="D158" s="799"/>
      <c r="E158" s="799"/>
      <c r="F158" s="799"/>
      <c r="G158" s="799"/>
      <c r="H158" s="799"/>
      <c r="I158" s="799"/>
      <c r="J158" s="799"/>
      <c r="K158" s="799"/>
      <c r="L158" s="799"/>
      <c r="M158" s="799"/>
      <c r="N158" s="799"/>
      <c r="O158" s="799"/>
      <c r="P158" s="799"/>
      <c r="Q158" s="799"/>
      <c r="R158" s="800"/>
      <c r="T158" s="50"/>
      <c r="U158" s="50"/>
      <c r="V158" s="50"/>
      <c r="W158" s="50"/>
    </row>
    <row r="159" spans="1:23" ht="12.75" customHeight="1" x14ac:dyDescent="0.25">
      <c r="A159" s="825" t="s">
        <v>10</v>
      </c>
      <c r="B159" s="793" t="s">
        <v>11</v>
      </c>
      <c r="C159" s="813" t="s">
        <v>12</v>
      </c>
      <c r="D159" s="815" t="s">
        <v>361</v>
      </c>
      <c r="E159" s="816"/>
      <c r="F159" s="816"/>
      <c r="G159" s="816"/>
      <c r="H159" s="816"/>
      <c r="I159" s="816"/>
      <c r="J159" s="816"/>
      <c r="K159" s="816"/>
      <c r="L159" s="817"/>
      <c r="M159" s="818" t="s">
        <v>13</v>
      </c>
      <c r="N159" s="811" t="s">
        <v>14</v>
      </c>
      <c r="O159" s="793" t="s">
        <v>15</v>
      </c>
      <c r="P159" s="795" t="s">
        <v>16</v>
      </c>
      <c r="Q159" s="793" t="s">
        <v>17</v>
      </c>
      <c r="R159" s="797" t="s">
        <v>18</v>
      </c>
      <c r="T159" s="50"/>
      <c r="U159" s="50"/>
      <c r="V159" s="50"/>
      <c r="W159" s="50"/>
    </row>
    <row r="160" spans="1:23" ht="27" customHeight="1" x14ac:dyDescent="0.25">
      <c r="A160" s="826"/>
      <c r="B160" s="794"/>
      <c r="C160" s="814"/>
      <c r="D160" s="193" t="s">
        <v>366</v>
      </c>
      <c r="E160" s="193" t="s">
        <v>362</v>
      </c>
      <c r="F160" s="193" t="s">
        <v>355</v>
      </c>
      <c r="G160" s="193" t="s">
        <v>357</v>
      </c>
      <c r="H160" s="193" t="s">
        <v>352</v>
      </c>
      <c r="I160" s="193" t="s">
        <v>354</v>
      </c>
      <c r="J160" s="193" t="s">
        <v>353</v>
      </c>
      <c r="K160" s="193" t="s">
        <v>356</v>
      </c>
      <c r="L160" s="193" t="s">
        <v>359</v>
      </c>
      <c r="M160" s="819"/>
      <c r="N160" s="812"/>
      <c r="O160" s="794"/>
      <c r="P160" s="796"/>
      <c r="Q160" s="794"/>
      <c r="R160" s="798"/>
      <c r="T160" s="50"/>
      <c r="U160" s="50"/>
      <c r="V160" s="50"/>
      <c r="W160" s="50"/>
    </row>
    <row r="161" spans="1:23" s="55" customFormat="1" ht="17.25" customHeight="1" x14ac:dyDescent="0.25">
      <c r="A161" s="30" t="s">
        <v>473</v>
      </c>
      <c r="B161" s="126">
        <v>1</v>
      </c>
      <c r="C161" s="476">
        <v>22000000</v>
      </c>
      <c r="D161" s="239">
        <v>0</v>
      </c>
      <c r="E161" s="239">
        <v>0</v>
      </c>
      <c r="F161" s="239">
        <v>0</v>
      </c>
      <c r="G161" s="239">
        <v>0</v>
      </c>
      <c r="H161" s="239">
        <v>0</v>
      </c>
      <c r="I161" s="239">
        <v>0</v>
      </c>
      <c r="J161" s="239">
        <v>0</v>
      </c>
      <c r="K161" s="240">
        <f t="shared" ref="K161:K170" si="12">J161+I161+H161+G161+F161+E161+D161</f>
        <v>0</v>
      </c>
      <c r="L161" s="240">
        <f t="shared" ref="L161:L170" si="13">C161-K161</f>
        <v>22000000</v>
      </c>
      <c r="M161" s="15"/>
      <c r="N161" s="10">
        <f t="shared" ref="N161:N170" si="14">C161-M161</f>
        <v>22000000</v>
      </c>
      <c r="O161" s="11">
        <f t="shared" ref="O161:O170" si="15">N161/C161</f>
        <v>1</v>
      </c>
      <c r="P161" s="37"/>
      <c r="Q161" s="30"/>
      <c r="R161" s="106"/>
    </row>
    <row r="162" spans="1:23" s="55" customFormat="1" ht="40.5" customHeight="1" x14ac:dyDescent="0.25">
      <c r="A162" s="360" t="s">
        <v>474</v>
      </c>
      <c r="B162" s="126">
        <v>1</v>
      </c>
      <c r="C162" s="476">
        <v>1000000</v>
      </c>
      <c r="D162" s="239">
        <v>0</v>
      </c>
      <c r="E162" s="239">
        <v>0</v>
      </c>
      <c r="F162" s="239">
        <v>0</v>
      </c>
      <c r="G162" s="239">
        <v>0</v>
      </c>
      <c r="H162" s="239">
        <v>0</v>
      </c>
      <c r="I162" s="239">
        <v>0</v>
      </c>
      <c r="J162" s="239">
        <v>0</v>
      </c>
      <c r="K162" s="240">
        <f t="shared" si="12"/>
        <v>0</v>
      </c>
      <c r="L162" s="240">
        <f t="shared" si="13"/>
        <v>1000000</v>
      </c>
      <c r="M162" s="15"/>
      <c r="N162" s="10">
        <f t="shared" si="14"/>
        <v>1000000</v>
      </c>
      <c r="O162" s="11">
        <f t="shared" si="15"/>
        <v>1</v>
      </c>
      <c r="P162" s="37"/>
      <c r="Q162" s="30"/>
      <c r="R162" s="106"/>
    </row>
    <row r="163" spans="1:23" s="55" customFormat="1" ht="41.25" customHeight="1" x14ac:dyDescent="0.25">
      <c r="A163" s="30" t="s">
        <v>363</v>
      </c>
      <c r="B163" s="126">
        <v>1</v>
      </c>
      <c r="C163" s="476">
        <v>100000000</v>
      </c>
      <c r="D163" s="239">
        <v>0</v>
      </c>
      <c r="E163" s="239">
        <v>0</v>
      </c>
      <c r="F163" s="239">
        <v>0</v>
      </c>
      <c r="G163" s="239">
        <v>0</v>
      </c>
      <c r="H163" s="239">
        <v>0</v>
      </c>
      <c r="I163" s="239">
        <v>0</v>
      </c>
      <c r="J163" s="239">
        <v>0</v>
      </c>
      <c r="K163" s="240">
        <f t="shared" si="12"/>
        <v>0</v>
      </c>
      <c r="L163" s="240">
        <f t="shared" si="13"/>
        <v>100000000</v>
      </c>
      <c r="M163" s="15"/>
      <c r="N163" s="10">
        <f t="shared" si="14"/>
        <v>100000000</v>
      </c>
      <c r="O163" s="11">
        <f t="shared" si="15"/>
        <v>1</v>
      </c>
      <c r="P163" s="37"/>
      <c r="Q163" s="30"/>
      <c r="R163" s="106"/>
    </row>
    <row r="164" spans="1:23" s="55" customFormat="1" ht="25.5" x14ac:dyDescent="0.25">
      <c r="A164" s="427" t="s">
        <v>604</v>
      </c>
      <c r="B164" s="126">
        <v>200</v>
      </c>
      <c r="C164" s="476">
        <f>5200000*10</f>
        <v>52000000</v>
      </c>
      <c r="D164" s="239">
        <v>0</v>
      </c>
      <c r="E164" s="239">
        <v>0</v>
      </c>
      <c r="F164" s="239">
        <v>0</v>
      </c>
      <c r="G164" s="239">
        <v>0</v>
      </c>
      <c r="H164" s="239">
        <v>0</v>
      </c>
      <c r="I164" s="239">
        <v>0</v>
      </c>
      <c r="J164" s="239">
        <v>0</v>
      </c>
      <c r="K164" s="240">
        <f t="shared" si="12"/>
        <v>0</v>
      </c>
      <c r="L164" s="240">
        <f t="shared" si="13"/>
        <v>52000000</v>
      </c>
      <c r="M164" s="15"/>
      <c r="N164" s="10">
        <f t="shared" si="14"/>
        <v>52000000</v>
      </c>
      <c r="O164" s="11">
        <f t="shared" si="15"/>
        <v>1</v>
      </c>
      <c r="P164" s="37"/>
      <c r="Q164" s="30"/>
      <c r="R164" s="106"/>
    </row>
    <row r="165" spans="1:23" s="55" customFormat="1" ht="51" x14ac:dyDescent="0.25">
      <c r="A165" s="427" t="s">
        <v>605</v>
      </c>
      <c r="B165" s="126">
        <v>1</v>
      </c>
      <c r="C165" s="476">
        <v>7000000</v>
      </c>
      <c r="D165" s="239">
        <v>0</v>
      </c>
      <c r="E165" s="239">
        <v>0</v>
      </c>
      <c r="F165" s="239">
        <v>0</v>
      </c>
      <c r="G165" s="239">
        <v>0</v>
      </c>
      <c r="H165" s="239">
        <v>0</v>
      </c>
      <c r="I165" s="239">
        <v>0</v>
      </c>
      <c r="J165" s="239">
        <v>0</v>
      </c>
      <c r="K165" s="240">
        <f t="shared" si="12"/>
        <v>0</v>
      </c>
      <c r="L165" s="240">
        <f t="shared" si="13"/>
        <v>7000000</v>
      </c>
      <c r="M165" s="15"/>
      <c r="N165" s="10">
        <f t="shared" si="14"/>
        <v>7000000</v>
      </c>
      <c r="O165" s="11">
        <f t="shared" si="15"/>
        <v>1</v>
      </c>
      <c r="P165" s="292"/>
      <c r="Q165" s="30"/>
      <c r="R165" s="106"/>
    </row>
    <row r="166" spans="1:23" s="55" customFormat="1" ht="102" x14ac:dyDescent="0.25">
      <c r="A166" s="145" t="s">
        <v>364</v>
      </c>
      <c r="B166" s="126">
        <v>280</v>
      </c>
      <c r="C166" s="178">
        <v>10000000</v>
      </c>
      <c r="D166" s="239">
        <v>0</v>
      </c>
      <c r="E166" s="239">
        <v>0</v>
      </c>
      <c r="F166" s="239">
        <v>0</v>
      </c>
      <c r="G166" s="239">
        <v>0</v>
      </c>
      <c r="H166" s="239">
        <v>0</v>
      </c>
      <c r="I166" s="239">
        <v>0</v>
      </c>
      <c r="J166" s="239">
        <v>0</v>
      </c>
      <c r="K166" s="240">
        <f t="shared" si="12"/>
        <v>0</v>
      </c>
      <c r="L166" s="240">
        <f t="shared" si="13"/>
        <v>10000000</v>
      </c>
      <c r="M166" s="15"/>
      <c r="N166" s="10">
        <f t="shared" si="14"/>
        <v>10000000</v>
      </c>
      <c r="O166" s="11">
        <f t="shared" si="15"/>
        <v>1</v>
      </c>
      <c r="P166" s="37"/>
      <c r="Q166" s="30"/>
      <c r="R166" s="106"/>
      <c r="T166" s="56"/>
      <c r="U166" s="56"/>
      <c r="V166" s="56"/>
      <c r="W166" s="56"/>
    </row>
    <row r="167" spans="1:23" s="55" customFormat="1" ht="106.5" customHeight="1" x14ac:dyDescent="0.25">
      <c r="A167" s="477" t="s">
        <v>365</v>
      </c>
      <c r="B167" s="126">
        <v>5</v>
      </c>
      <c r="C167" s="479">
        <v>10000000</v>
      </c>
      <c r="D167" s="239">
        <v>0</v>
      </c>
      <c r="E167" s="239">
        <v>0</v>
      </c>
      <c r="F167" s="239">
        <v>0</v>
      </c>
      <c r="G167" s="239">
        <v>0</v>
      </c>
      <c r="H167" s="239">
        <v>0</v>
      </c>
      <c r="I167" s="239">
        <v>0</v>
      </c>
      <c r="J167" s="239">
        <v>0</v>
      </c>
      <c r="K167" s="240">
        <f t="shared" si="12"/>
        <v>0</v>
      </c>
      <c r="L167" s="240">
        <f t="shared" si="13"/>
        <v>10000000</v>
      </c>
      <c r="M167" s="15"/>
      <c r="N167" s="10">
        <f t="shared" si="14"/>
        <v>10000000</v>
      </c>
      <c r="O167" s="11">
        <f t="shared" si="15"/>
        <v>1</v>
      </c>
      <c r="P167" s="293"/>
      <c r="Q167" s="30"/>
      <c r="R167" s="106"/>
      <c r="T167" s="56"/>
      <c r="U167" s="56"/>
      <c r="V167" s="56"/>
      <c r="W167" s="56"/>
    </row>
    <row r="168" spans="1:23" s="55" customFormat="1" ht="82.5" customHeight="1" x14ac:dyDescent="0.25">
      <c r="A168" s="480" t="s">
        <v>475</v>
      </c>
      <c r="B168" s="126">
        <v>1</v>
      </c>
      <c r="C168" s="476">
        <v>10000000</v>
      </c>
      <c r="D168" s="239">
        <v>0</v>
      </c>
      <c r="E168" s="239">
        <v>0</v>
      </c>
      <c r="F168" s="239">
        <v>0</v>
      </c>
      <c r="G168" s="239">
        <v>0</v>
      </c>
      <c r="H168" s="239">
        <v>0</v>
      </c>
      <c r="I168" s="239">
        <v>0</v>
      </c>
      <c r="J168" s="239">
        <v>0</v>
      </c>
      <c r="K168" s="240">
        <f t="shared" si="12"/>
        <v>0</v>
      </c>
      <c r="L168" s="240">
        <f t="shared" si="13"/>
        <v>10000000</v>
      </c>
      <c r="M168" s="15"/>
      <c r="N168" s="10">
        <f t="shared" si="14"/>
        <v>10000000</v>
      </c>
      <c r="O168" s="11">
        <f t="shared" si="15"/>
        <v>1</v>
      </c>
      <c r="P168" s="293"/>
      <c r="Q168" s="30"/>
      <c r="R168" s="106"/>
      <c r="T168" s="56"/>
      <c r="U168" s="56"/>
      <c r="V168" s="56"/>
      <c r="W168" s="56"/>
    </row>
    <row r="169" spans="1:23" s="55" customFormat="1" ht="51" customHeight="1" x14ac:dyDescent="0.25">
      <c r="A169" s="146" t="s">
        <v>264</v>
      </c>
      <c r="B169" s="286">
        <v>9</v>
      </c>
      <c r="C169" s="242">
        <v>523171243</v>
      </c>
      <c r="D169" s="239">
        <v>0</v>
      </c>
      <c r="E169" s="239">
        <v>0</v>
      </c>
      <c r="F169" s="239">
        <v>0</v>
      </c>
      <c r="G169" s="239">
        <v>0</v>
      </c>
      <c r="H169" s="239">
        <v>0</v>
      </c>
      <c r="I169" s="239">
        <v>0</v>
      </c>
      <c r="J169" s="239">
        <v>0</v>
      </c>
      <c r="K169" s="240">
        <f t="shared" si="12"/>
        <v>0</v>
      </c>
      <c r="L169" s="240">
        <f t="shared" si="13"/>
        <v>523171243</v>
      </c>
      <c r="M169" s="15"/>
      <c r="N169" s="10">
        <f t="shared" si="14"/>
        <v>523171243</v>
      </c>
      <c r="O169" s="11">
        <f t="shared" si="15"/>
        <v>1</v>
      </c>
      <c r="P169" s="24"/>
      <c r="Q169" s="30"/>
      <c r="R169" s="106"/>
      <c r="T169" s="56"/>
      <c r="U169" s="56"/>
      <c r="V169" s="56"/>
      <c r="W169" s="56"/>
    </row>
    <row r="170" spans="1:23" s="55" customFormat="1" ht="95.25" customHeight="1" x14ac:dyDescent="0.25">
      <c r="A170" s="173" t="s">
        <v>70</v>
      </c>
      <c r="B170" s="286">
        <v>3</v>
      </c>
      <c r="C170" s="242">
        <v>2000000</v>
      </c>
      <c r="D170" s="239">
        <v>0</v>
      </c>
      <c r="E170" s="239">
        <v>0</v>
      </c>
      <c r="F170" s="239">
        <v>0</v>
      </c>
      <c r="G170" s="239">
        <v>0</v>
      </c>
      <c r="H170" s="239">
        <v>0</v>
      </c>
      <c r="I170" s="239">
        <v>0</v>
      </c>
      <c r="J170" s="239">
        <v>0</v>
      </c>
      <c r="K170" s="240">
        <f t="shared" si="12"/>
        <v>0</v>
      </c>
      <c r="L170" s="240">
        <f t="shared" si="13"/>
        <v>2000000</v>
      </c>
      <c r="M170" s="15"/>
      <c r="N170" s="10">
        <f t="shared" si="14"/>
        <v>2000000</v>
      </c>
      <c r="O170" s="11">
        <f t="shared" si="15"/>
        <v>1</v>
      </c>
      <c r="P170" s="381"/>
      <c r="Q170" s="30"/>
      <c r="R170" s="106"/>
      <c r="T170" s="56"/>
      <c r="U170" s="56"/>
      <c r="V170" s="56"/>
      <c r="W170" s="56"/>
    </row>
    <row r="171" spans="1:23" x14ac:dyDescent="0.25">
      <c r="A171" s="851" t="s">
        <v>72</v>
      </c>
      <c r="B171" s="852"/>
      <c r="C171" s="195">
        <f>SUM(C142:C170)</f>
        <v>1199019245</v>
      </c>
      <c r="D171" s="195"/>
      <c r="E171" s="195"/>
      <c r="F171" s="195"/>
      <c r="G171" s="195"/>
      <c r="H171" s="195"/>
      <c r="I171" s="195"/>
      <c r="J171" s="195"/>
      <c r="K171" s="195">
        <f>SUM(K142:K170)</f>
        <v>0</v>
      </c>
      <c r="L171" s="195">
        <f>SUM(L142:L170)</f>
        <v>1199019245</v>
      </c>
      <c r="M171" s="16">
        <f>SUM(M142:M170)</f>
        <v>0</v>
      </c>
      <c r="N171" s="17">
        <f>C171-M171</f>
        <v>1199019245</v>
      </c>
      <c r="O171" s="18">
        <f>N171/C171</f>
        <v>1</v>
      </c>
      <c r="P171" s="19"/>
      <c r="Q171" s="20"/>
      <c r="R171" s="105"/>
    </row>
    <row r="172" spans="1:23" x14ac:dyDescent="0.25">
      <c r="A172" s="845" t="s">
        <v>76</v>
      </c>
      <c r="B172" s="846"/>
      <c r="C172" s="846"/>
      <c r="D172" s="846"/>
      <c r="E172" s="846"/>
      <c r="F172" s="846"/>
      <c r="G172" s="846"/>
      <c r="H172" s="846"/>
      <c r="I172" s="846"/>
      <c r="J172" s="846"/>
      <c r="K172" s="846"/>
      <c r="L172" s="846"/>
      <c r="M172" s="846"/>
      <c r="N172" s="846"/>
      <c r="O172" s="846"/>
      <c r="P172" s="846"/>
      <c r="Q172" s="846"/>
      <c r="R172" s="847"/>
      <c r="T172" s="50"/>
      <c r="U172" s="50"/>
      <c r="V172" s="50"/>
      <c r="W172" s="50"/>
    </row>
    <row r="173" spans="1:23" x14ac:dyDescent="0.25">
      <c r="A173" s="21" t="s">
        <v>1</v>
      </c>
      <c r="B173" s="809" t="s">
        <v>45</v>
      </c>
      <c r="C173" s="809"/>
      <c r="D173" s="809"/>
      <c r="E173" s="809"/>
      <c r="F173" s="809"/>
      <c r="G173" s="809"/>
      <c r="H173" s="809"/>
      <c r="I173" s="809"/>
      <c r="J173" s="809"/>
      <c r="K173" s="809"/>
      <c r="L173" s="809"/>
      <c r="M173" s="809"/>
      <c r="N173" s="809"/>
      <c r="O173" s="809"/>
      <c r="P173" s="809"/>
      <c r="Q173" s="809"/>
      <c r="R173" s="810"/>
      <c r="T173" s="50"/>
      <c r="U173" s="50"/>
      <c r="V173" s="50"/>
      <c r="W173" s="50"/>
    </row>
    <row r="174" spans="1:23" x14ac:dyDescent="0.25">
      <c r="A174" s="21" t="s">
        <v>3</v>
      </c>
      <c r="B174" s="809" t="s">
        <v>77</v>
      </c>
      <c r="C174" s="809"/>
      <c r="D174" s="809"/>
      <c r="E174" s="809"/>
      <c r="F174" s="809"/>
      <c r="G174" s="809"/>
      <c r="H174" s="809"/>
      <c r="I174" s="809"/>
      <c r="J174" s="809"/>
      <c r="K174" s="809"/>
      <c r="L174" s="809"/>
      <c r="M174" s="809"/>
      <c r="N174" s="809"/>
      <c r="O174" s="809"/>
      <c r="P174" s="809"/>
      <c r="Q174" s="809"/>
      <c r="R174" s="810"/>
      <c r="T174" s="50"/>
      <c r="U174" s="50"/>
      <c r="V174" s="50"/>
      <c r="W174" s="50"/>
    </row>
    <row r="175" spans="1:23" x14ac:dyDescent="0.25">
      <c r="A175" s="21" t="s">
        <v>5</v>
      </c>
      <c r="B175" s="799" t="s">
        <v>78</v>
      </c>
      <c r="C175" s="799"/>
      <c r="D175" s="799"/>
      <c r="E175" s="799"/>
      <c r="F175" s="799"/>
      <c r="G175" s="799"/>
      <c r="H175" s="799"/>
      <c r="I175" s="799"/>
      <c r="J175" s="799"/>
      <c r="K175" s="799"/>
      <c r="L175" s="799"/>
      <c r="M175" s="799"/>
      <c r="N175" s="799"/>
      <c r="O175" s="799"/>
      <c r="P175" s="799"/>
      <c r="Q175" s="799"/>
      <c r="R175" s="800"/>
      <c r="T175" s="50"/>
      <c r="U175" s="50"/>
      <c r="V175" s="50"/>
      <c r="W175" s="50"/>
    </row>
    <row r="176" spans="1:23" x14ac:dyDescent="0.25">
      <c r="A176" s="21" t="s">
        <v>6</v>
      </c>
      <c r="B176" s="799" t="s">
        <v>79</v>
      </c>
      <c r="C176" s="799"/>
      <c r="D176" s="799"/>
      <c r="E176" s="799"/>
      <c r="F176" s="799"/>
      <c r="G176" s="799"/>
      <c r="H176" s="799"/>
      <c r="I176" s="799"/>
      <c r="J176" s="799"/>
      <c r="K176" s="799"/>
      <c r="L176" s="799"/>
      <c r="M176" s="799"/>
      <c r="N176" s="799"/>
      <c r="O176" s="799"/>
      <c r="P176" s="799"/>
      <c r="Q176" s="799"/>
      <c r="R176" s="800"/>
      <c r="T176" s="50"/>
      <c r="U176" s="50"/>
      <c r="V176" s="50"/>
      <c r="W176" s="50"/>
    </row>
    <row r="177" spans="1:23" x14ac:dyDescent="0.25">
      <c r="A177" s="21" t="s">
        <v>8</v>
      </c>
      <c r="B177" s="799" t="s">
        <v>80</v>
      </c>
      <c r="C177" s="799"/>
      <c r="D177" s="799"/>
      <c r="E177" s="799"/>
      <c r="F177" s="799"/>
      <c r="G177" s="799"/>
      <c r="H177" s="799"/>
      <c r="I177" s="799"/>
      <c r="J177" s="799"/>
      <c r="K177" s="799"/>
      <c r="L177" s="799"/>
      <c r="M177" s="799"/>
      <c r="N177" s="799"/>
      <c r="O177" s="799"/>
      <c r="P177" s="799"/>
      <c r="Q177" s="799"/>
      <c r="R177" s="800"/>
      <c r="T177" s="50"/>
      <c r="U177" s="50"/>
      <c r="V177" s="50"/>
      <c r="W177" s="50"/>
    </row>
    <row r="178" spans="1:23" ht="12.75" customHeight="1" x14ac:dyDescent="0.25">
      <c r="A178" s="825" t="s">
        <v>10</v>
      </c>
      <c r="B178" s="793" t="s">
        <v>11</v>
      </c>
      <c r="C178" s="813" t="s">
        <v>12</v>
      </c>
      <c r="D178" s="815" t="s">
        <v>361</v>
      </c>
      <c r="E178" s="816"/>
      <c r="F178" s="816"/>
      <c r="G178" s="816"/>
      <c r="H178" s="816"/>
      <c r="I178" s="816"/>
      <c r="J178" s="816"/>
      <c r="K178" s="816"/>
      <c r="L178" s="817"/>
      <c r="M178" s="818" t="s">
        <v>13</v>
      </c>
      <c r="N178" s="811" t="s">
        <v>14</v>
      </c>
      <c r="O178" s="793" t="s">
        <v>15</v>
      </c>
      <c r="P178" s="795" t="s">
        <v>16</v>
      </c>
      <c r="Q178" s="793" t="s">
        <v>17</v>
      </c>
      <c r="R178" s="797" t="s">
        <v>18</v>
      </c>
      <c r="T178" s="50"/>
      <c r="U178" s="50"/>
      <c r="V178" s="50"/>
      <c r="W178" s="50"/>
    </row>
    <row r="179" spans="1:23" ht="24.75" customHeight="1" x14ac:dyDescent="0.25">
      <c r="A179" s="826"/>
      <c r="B179" s="794"/>
      <c r="C179" s="814"/>
      <c r="D179" s="193" t="s">
        <v>366</v>
      </c>
      <c r="E179" s="193" t="s">
        <v>362</v>
      </c>
      <c r="F179" s="193" t="s">
        <v>355</v>
      </c>
      <c r="G179" s="193" t="s">
        <v>357</v>
      </c>
      <c r="H179" s="193" t="s">
        <v>352</v>
      </c>
      <c r="I179" s="193" t="s">
        <v>354</v>
      </c>
      <c r="J179" s="193" t="s">
        <v>353</v>
      </c>
      <c r="K179" s="193" t="s">
        <v>356</v>
      </c>
      <c r="L179" s="193" t="s">
        <v>359</v>
      </c>
      <c r="M179" s="819"/>
      <c r="N179" s="812"/>
      <c r="O179" s="794"/>
      <c r="P179" s="796"/>
      <c r="Q179" s="794"/>
      <c r="R179" s="798"/>
      <c r="T179" s="50"/>
      <c r="U179" s="50"/>
      <c r="V179" s="50"/>
      <c r="W179" s="50"/>
    </row>
    <row r="180" spans="1:23" s="55" customFormat="1" x14ac:dyDescent="0.25">
      <c r="A180" s="868" t="s">
        <v>265</v>
      </c>
      <c r="B180" s="869"/>
      <c r="C180" s="869"/>
      <c r="D180" s="869"/>
      <c r="E180" s="869"/>
      <c r="F180" s="869"/>
      <c r="G180" s="869"/>
      <c r="H180" s="869"/>
      <c r="I180" s="869"/>
      <c r="J180" s="869"/>
      <c r="K180" s="869"/>
      <c r="L180" s="869"/>
      <c r="M180" s="869"/>
      <c r="N180" s="869"/>
      <c r="O180" s="869"/>
      <c r="P180" s="869"/>
      <c r="Q180" s="869"/>
      <c r="R180" s="870"/>
    </row>
    <row r="181" spans="1:23" s="55" customFormat="1" ht="25.5" x14ac:dyDescent="0.25">
      <c r="A181" s="145" t="s">
        <v>81</v>
      </c>
      <c r="B181" s="126">
        <v>1</v>
      </c>
      <c r="C181" s="425">
        <v>595720</v>
      </c>
      <c r="D181" s="239">
        <v>0</v>
      </c>
      <c r="E181" s="239">
        <v>0</v>
      </c>
      <c r="F181" s="239">
        <v>0</v>
      </c>
      <c r="G181" s="239">
        <v>0</v>
      </c>
      <c r="H181" s="239">
        <v>0</v>
      </c>
      <c r="I181" s="239">
        <v>0</v>
      </c>
      <c r="J181" s="239">
        <v>0</v>
      </c>
      <c r="K181" s="240">
        <f>J181+I181+H181+G181+F181+E181+D181</f>
        <v>0</v>
      </c>
      <c r="L181" s="240">
        <f>C181-K181</f>
        <v>595720</v>
      </c>
      <c r="M181" s="15"/>
      <c r="N181" s="10">
        <f>C181-M181</f>
        <v>595720</v>
      </c>
      <c r="O181" s="11">
        <f>N181/C181</f>
        <v>1</v>
      </c>
      <c r="P181" s="24"/>
      <c r="Q181" s="30"/>
      <c r="R181" s="106"/>
    </row>
    <row r="182" spans="1:23" s="55" customFormat="1" x14ac:dyDescent="0.25">
      <c r="A182" s="146" t="s">
        <v>82</v>
      </c>
      <c r="B182" s="126">
        <v>3</v>
      </c>
      <c r="C182" s="425">
        <v>1123600</v>
      </c>
      <c r="D182" s="239">
        <v>0</v>
      </c>
      <c r="E182" s="239">
        <v>0</v>
      </c>
      <c r="F182" s="239">
        <v>0</v>
      </c>
      <c r="G182" s="239">
        <v>0</v>
      </c>
      <c r="H182" s="239">
        <v>0</v>
      </c>
      <c r="I182" s="239">
        <v>0</v>
      </c>
      <c r="J182" s="239">
        <v>0</v>
      </c>
      <c r="K182" s="240">
        <f>J182+I182+H182+G182+F182+E182+D182</f>
        <v>0</v>
      </c>
      <c r="L182" s="240">
        <f>C182-K182</f>
        <v>1123600</v>
      </c>
      <c r="M182" s="15"/>
      <c r="N182" s="10">
        <f>C182-M182</f>
        <v>1123600</v>
      </c>
      <c r="O182" s="11">
        <f>N182/C182</f>
        <v>1</v>
      </c>
      <c r="P182" s="24"/>
      <c r="Q182" s="30"/>
      <c r="R182" s="106"/>
    </row>
    <row r="183" spans="1:23" s="55" customFormat="1" x14ac:dyDescent="0.25">
      <c r="A183" s="146" t="s">
        <v>83</v>
      </c>
      <c r="B183" s="126">
        <v>2</v>
      </c>
      <c r="C183" s="425">
        <v>11236000</v>
      </c>
      <c r="D183" s="239">
        <v>0</v>
      </c>
      <c r="E183" s="239">
        <v>0</v>
      </c>
      <c r="F183" s="239">
        <v>0</v>
      </c>
      <c r="G183" s="239">
        <v>0</v>
      </c>
      <c r="H183" s="239">
        <v>0</v>
      </c>
      <c r="I183" s="239">
        <v>0</v>
      </c>
      <c r="J183" s="239">
        <v>0</v>
      </c>
      <c r="K183" s="240">
        <f>J183+I183+H183+G183+F183+E183+D183</f>
        <v>0</v>
      </c>
      <c r="L183" s="240">
        <f>C183-K183</f>
        <v>11236000</v>
      </c>
      <c r="M183" s="15"/>
      <c r="N183" s="10">
        <f>C183-M183</f>
        <v>11236000</v>
      </c>
      <c r="O183" s="11">
        <f>N183/C183</f>
        <v>1</v>
      </c>
      <c r="P183" s="24"/>
      <c r="Q183" s="30"/>
      <c r="R183" s="106"/>
    </row>
    <row r="184" spans="1:23" s="55" customFormat="1" x14ac:dyDescent="0.25">
      <c r="A184" s="146" t="s">
        <v>84</v>
      </c>
      <c r="B184" s="126">
        <v>1</v>
      </c>
      <c r="C184" s="425">
        <v>7303400</v>
      </c>
      <c r="D184" s="239">
        <v>0</v>
      </c>
      <c r="E184" s="239">
        <v>0</v>
      </c>
      <c r="F184" s="239">
        <v>0</v>
      </c>
      <c r="G184" s="239">
        <v>0</v>
      </c>
      <c r="H184" s="239">
        <v>0</v>
      </c>
      <c r="I184" s="239">
        <v>0</v>
      </c>
      <c r="J184" s="239">
        <v>0</v>
      </c>
      <c r="K184" s="240">
        <f>J184+I184+H184+G184+F184+E184+D184</f>
        <v>0</v>
      </c>
      <c r="L184" s="240">
        <f>C184-K184</f>
        <v>7303400</v>
      </c>
      <c r="M184" s="15"/>
      <c r="N184" s="10">
        <f>C184-M184</f>
        <v>7303400</v>
      </c>
      <c r="O184" s="11">
        <f>N184/C184</f>
        <v>1</v>
      </c>
      <c r="P184" s="24"/>
      <c r="Q184" s="30"/>
      <c r="R184" s="106"/>
    </row>
    <row r="185" spans="1:23" s="55" customFormat="1" x14ac:dyDescent="0.25">
      <c r="A185" s="146" t="s">
        <v>85</v>
      </c>
      <c r="B185" s="126">
        <v>1</v>
      </c>
      <c r="C185" s="425">
        <v>6966320</v>
      </c>
      <c r="D185" s="239">
        <v>0</v>
      </c>
      <c r="E185" s="239">
        <v>0</v>
      </c>
      <c r="F185" s="239">
        <v>0</v>
      </c>
      <c r="G185" s="239">
        <v>0</v>
      </c>
      <c r="H185" s="239">
        <v>0</v>
      </c>
      <c r="I185" s="239">
        <v>0</v>
      </c>
      <c r="J185" s="239">
        <v>0</v>
      </c>
      <c r="K185" s="240">
        <f>J185+I185+H185+G185+F185+E185+D185</f>
        <v>0</v>
      </c>
      <c r="L185" s="240">
        <f>C185-K185</f>
        <v>6966320</v>
      </c>
      <c r="M185" s="15"/>
      <c r="N185" s="10">
        <f>C185-M185</f>
        <v>6966320</v>
      </c>
      <c r="O185" s="11">
        <f>N185/C185</f>
        <v>1</v>
      </c>
      <c r="P185" s="24"/>
      <c r="Q185" s="30"/>
      <c r="R185" s="106"/>
    </row>
    <row r="186" spans="1:23" s="55" customFormat="1" x14ac:dyDescent="0.25">
      <c r="A186" s="871" t="s">
        <v>86</v>
      </c>
      <c r="B186" s="869"/>
      <c r="C186" s="869"/>
      <c r="D186" s="869"/>
      <c r="E186" s="869"/>
      <c r="F186" s="869"/>
      <c r="G186" s="869"/>
      <c r="H186" s="869"/>
      <c r="I186" s="869"/>
      <c r="J186" s="869"/>
      <c r="K186" s="869"/>
      <c r="L186" s="869"/>
      <c r="M186" s="869"/>
      <c r="N186" s="869"/>
      <c r="O186" s="869"/>
      <c r="P186" s="869"/>
      <c r="Q186" s="869"/>
      <c r="R186" s="870"/>
    </row>
    <row r="187" spans="1:23" s="55" customFormat="1" ht="25.5" x14ac:dyDescent="0.25">
      <c r="A187" s="146" t="s">
        <v>81</v>
      </c>
      <c r="B187" s="48">
        <v>1</v>
      </c>
      <c r="C187" s="425">
        <v>561800</v>
      </c>
      <c r="D187" s="239">
        <v>0</v>
      </c>
      <c r="E187" s="239">
        <v>0</v>
      </c>
      <c r="F187" s="239">
        <v>0</v>
      </c>
      <c r="G187" s="239">
        <v>0</v>
      </c>
      <c r="H187" s="239">
        <v>0</v>
      </c>
      <c r="I187" s="239">
        <v>0</v>
      </c>
      <c r="J187" s="239">
        <v>0</v>
      </c>
      <c r="K187" s="240">
        <f>J187+I187+H187+G187+F187+E187+D187</f>
        <v>0</v>
      </c>
      <c r="L187" s="240">
        <f>C187-K187</f>
        <v>561800</v>
      </c>
      <c r="M187" s="15"/>
      <c r="N187" s="10">
        <f>C187-M187</f>
        <v>561800</v>
      </c>
      <c r="O187" s="11">
        <f>N187/C187</f>
        <v>1</v>
      </c>
      <c r="P187" s="24"/>
      <c r="Q187" s="30"/>
      <c r="R187" s="106"/>
    </row>
    <row r="188" spans="1:23" s="55" customFormat="1" x14ac:dyDescent="0.25">
      <c r="A188" s="146" t="s">
        <v>82</v>
      </c>
      <c r="B188" s="48">
        <v>3</v>
      </c>
      <c r="C188" s="425">
        <v>561800</v>
      </c>
      <c r="D188" s="239">
        <v>0</v>
      </c>
      <c r="E188" s="239">
        <v>0</v>
      </c>
      <c r="F188" s="239">
        <v>0</v>
      </c>
      <c r="G188" s="239">
        <v>0</v>
      </c>
      <c r="H188" s="239">
        <v>0</v>
      </c>
      <c r="I188" s="239">
        <v>0</v>
      </c>
      <c r="J188" s="239">
        <v>0</v>
      </c>
      <c r="K188" s="240">
        <f>J188+I188+H188+G188+F188+E188+D188</f>
        <v>0</v>
      </c>
      <c r="L188" s="240">
        <f>C188-K188</f>
        <v>561800</v>
      </c>
      <c r="M188" s="15"/>
      <c r="N188" s="10">
        <f>C188-M188</f>
        <v>561800</v>
      </c>
      <c r="O188" s="11">
        <f>N188/C188</f>
        <v>1</v>
      </c>
      <c r="P188" s="24"/>
      <c r="Q188" s="30"/>
      <c r="R188" s="106"/>
    </row>
    <row r="189" spans="1:23" s="55" customFormat="1" x14ac:dyDescent="0.25">
      <c r="A189" s="146" t="s">
        <v>83</v>
      </c>
      <c r="B189" s="48">
        <v>2</v>
      </c>
      <c r="C189" s="425">
        <v>2809000</v>
      </c>
      <c r="D189" s="239">
        <v>0</v>
      </c>
      <c r="E189" s="239">
        <v>0</v>
      </c>
      <c r="F189" s="239">
        <v>0</v>
      </c>
      <c r="G189" s="239">
        <v>0</v>
      </c>
      <c r="H189" s="239">
        <v>0</v>
      </c>
      <c r="I189" s="239">
        <v>0</v>
      </c>
      <c r="J189" s="239">
        <v>0</v>
      </c>
      <c r="K189" s="240">
        <f>J189+I189+H189+G189+F189+E189+D189</f>
        <v>0</v>
      </c>
      <c r="L189" s="240">
        <f>C189-K189</f>
        <v>2809000</v>
      </c>
      <c r="M189" s="15"/>
      <c r="N189" s="10">
        <f>C189-M189</f>
        <v>2809000</v>
      </c>
      <c r="O189" s="11">
        <f>N189/C189</f>
        <v>1</v>
      </c>
      <c r="P189" s="24"/>
      <c r="Q189" s="30"/>
      <c r="R189" s="106"/>
    </row>
    <row r="190" spans="1:23" s="55" customFormat="1" x14ac:dyDescent="0.25">
      <c r="A190" s="146" t="s">
        <v>84</v>
      </c>
      <c r="B190" s="48">
        <v>2</v>
      </c>
      <c r="C190" s="425">
        <v>5056200</v>
      </c>
      <c r="D190" s="239">
        <v>0</v>
      </c>
      <c r="E190" s="239">
        <v>0</v>
      </c>
      <c r="F190" s="239">
        <v>0</v>
      </c>
      <c r="G190" s="239">
        <v>0</v>
      </c>
      <c r="H190" s="239">
        <v>0</v>
      </c>
      <c r="I190" s="239">
        <v>0</v>
      </c>
      <c r="J190" s="239">
        <v>0</v>
      </c>
      <c r="K190" s="240">
        <f>J190+I190+H190+G190+F190+E190+D190</f>
        <v>0</v>
      </c>
      <c r="L190" s="240">
        <f>C190-K190</f>
        <v>5056200</v>
      </c>
      <c r="M190" s="15"/>
      <c r="N190" s="10">
        <f>C190-M190</f>
        <v>5056200</v>
      </c>
      <c r="O190" s="11">
        <f>N190/C190</f>
        <v>1</v>
      </c>
      <c r="P190" s="24"/>
      <c r="Q190" s="30"/>
      <c r="R190" s="106"/>
    </row>
    <row r="191" spans="1:23" s="55" customFormat="1" x14ac:dyDescent="0.25">
      <c r="A191" s="146" t="s">
        <v>85</v>
      </c>
      <c r="B191" s="48">
        <v>1</v>
      </c>
      <c r="C191" s="425">
        <v>3146080</v>
      </c>
      <c r="D191" s="239">
        <v>0</v>
      </c>
      <c r="E191" s="239">
        <v>0</v>
      </c>
      <c r="F191" s="239">
        <v>0</v>
      </c>
      <c r="G191" s="239">
        <v>0</v>
      </c>
      <c r="H191" s="239">
        <v>0</v>
      </c>
      <c r="I191" s="239">
        <v>0</v>
      </c>
      <c r="J191" s="239">
        <v>0</v>
      </c>
      <c r="K191" s="240">
        <f>J191+I191+H191+G191+F191+E191+D191</f>
        <v>0</v>
      </c>
      <c r="L191" s="240">
        <f>C191-K191</f>
        <v>3146080</v>
      </c>
      <c r="M191" s="15"/>
      <c r="N191" s="10">
        <f>C191-M191</f>
        <v>3146080</v>
      </c>
      <c r="O191" s="11">
        <f>N191/C191</f>
        <v>1</v>
      </c>
      <c r="P191" s="24"/>
      <c r="Q191" s="30"/>
      <c r="R191" s="106"/>
    </row>
    <row r="192" spans="1:23" s="55" customFormat="1" ht="15" customHeight="1" x14ac:dyDescent="0.25">
      <c r="A192" s="871" t="s">
        <v>266</v>
      </c>
      <c r="B192" s="869"/>
      <c r="C192" s="869"/>
      <c r="D192" s="869"/>
      <c r="E192" s="869"/>
      <c r="F192" s="869"/>
      <c r="G192" s="869"/>
      <c r="H192" s="869"/>
      <c r="I192" s="869"/>
      <c r="J192" s="869"/>
      <c r="K192" s="869"/>
      <c r="L192" s="869"/>
      <c r="M192" s="869"/>
      <c r="N192" s="869"/>
      <c r="O192" s="869"/>
      <c r="P192" s="869"/>
      <c r="Q192" s="872"/>
      <c r="R192" s="106"/>
    </row>
    <row r="193" spans="1:18" s="55" customFormat="1" x14ac:dyDescent="0.25">
      <c r="A193" s="146" t="s">
        <v>87</v>
      </c>
      <c r="B193" s="286">
        <v>5</v>
      </c>
      <c r="C193" s="425">
        <v>6360000</v>
      </c>
      <c r="D193" s="239">
        <v>0</v>
      </c>
      <c r="E193" s="239">
        <v>0</v>
      </c>
      <c r="F193" s="239">
        <v>0</v>
      </c>
      <c r="G193" s="239">
        <v>0</v>
      </c>
      <c r="H193" s="239">
        <v>0</v>
      </c>
      <c r="I193" s="239">
        <v>0</v>
      </c>
      <c r="J193" s="239">
        <v>0</v>
      </c>
      <c r="K193" s="240">
        <f>J193+I193+H193+G193+F193+E193+D193</f>
        <v>0</v>
      </c>
      <c r="L193" s="240">
        <f>C193-K193</f>
        <v>6360000</v>
      </c>
      <c r="M193" s="15"/>
      <c r="N193" s="10">
        <f>C193-M193</f>
        <v>6360000</v>
      </c>
      <c r="O193" s="11">
        <f>N193/C193</f>
        <v>1</v>
      </c>
      <c r="P193" s="24"/>
      <c r="Q193" s="30"/>
      <c r="R193" s="106"/>
    </row>
    <row r="194" spans="1:18" s="55" customFormat="1" x14ac:dyDescent="0.25">
      <c r="A194" s="146" t="s">
        <v>85</v>
      </c>
      <c r="B194" s="286">
        <v>2</v>
      </c>
      <c r="C194" s="425">
        <v>13780000</v>
      </c>
      <c r="D194" s="239">
        <v>0</v>
      </c>
      <c r="E194" s="239">
        <v>0</v>
      </c>
      <c r="F194" s="239">
        <v>0</v>
      </c>
      <c r="G194" s="239">
        <v>0</v>
      </c>
      <c r="H194" s="239">
        <v>0</v>
      </c>
      <c r="I194" s="239">
        <v>0</v>
      </c>
      <c r="J194" s="239">
        <v>0</v>
      </c>
      <c r="K194" s="240">
        <f>J194+I194+H194+G194+F194+E194+D194</f>
        <v>0</v>
      </c>
      <c r="L194" s="240">
        <f>C194-K194</f>
        <v>13780000</v>
      </c>
      <c r="M194" s="15"/>
      <c r="N194" s="10">
        <f>C194-M194</f>
        <v>13780000</v>
      </c>
      <c r="O194" s="11">
        <f>N194/C194</f>
        <v>1</v>
      </c>
      <c r="P194" s="24"/>
      <c r="Q194" s="30"/>
      <c r="R194" s="106"/>
    </row>
    <row r="195" spans="1:18" s="55" customFormat="1" x14ac:dyDescent="0.25">
      <c r="A195" s="148" t="s">
        <v>267</v>
      </c>
      <c r="B195" s="286">
        <v>1</v>
      </c>
      <c r="C195" s="426">
        <v>1060000</v>
      </c>
      <c r="D195" s="239">
        <v>0</v>
      </c>
      <c r="E195" s="239">
        <v>0</v>
      </c>
      <c r="F195" s="239">
        <v>0</v>
      </c>
      <c r="G195" s="239">
        <v>0</v>
      </c>
      <c r="H195" s="239">
        <v>0</v>
      </c>
      <c r="I195" s="239">
        <v>0</v>
      </c>
      <c r="J195" s="239">
        <v>0</v>
      </c>
      <c r="K195" s="240">
        <f>J195+I195+H195+G195+F195+E195+D195</f>
        <v>0</v>
      </c>
      <c r="L195" s="240">
        <f>C195-K195</f>
        <v>1060000</v>
      </c>
      <c r="M195" s="15"/>
      <c r="N195" s="10">
        <f>C195-M195</f>
        <v>1060000</v>
      </c>
      <c r="O195" s="11">
        <f>N195/C195</f>
        <v>1</v>
      </c>
      <c r="P195" s="24"/>
      <c r="Q195" s="30"/>
      <c r="R195" s="106"/>
    </row>
    <row r="196" spans="1:18" s="55" customFormat="1" ht="15" customHeight="1" x14ac:dyDescent="0.25">
      <c r="A196" s="853" t="s">
        <v>88</v>
      </c>
      <c r="B196" s="853"/>
      <c r="C196" s="853"/>
      <c r="D196" s="853"/>
      <c r="E196" s="853"/>
      <c r="F196" s="853"/>
      <c r="G196" s="853"/>
      <c r="H196" s="853"/>
      <c r="I196" s="853"/>
      <c r="J196" s="853"/>
      <c r="K196" s="853"/>
      <c r="L196" s="853"/>
      <c r="M196" s="853"/>
      <c r="N196" s="853"/>
      <c r="O196" s="853"/>
      <c r="P196" s="853"/>
      <c r="Q196" s="854"/>
      <c r="R196" s="106"/>
    </row>
    <row r="197" spans="1:18" s="55" customFormat="1" ht="40.5" customHeight="1" x14ac:dyDescent="0.25">
      <c r="A197" s="146" t="s">
        <v>89</v>
      </c>
      <c r="B197" s="126">
        <v>4</v>
      </c>
      <c r="C197" s="873">
        <v>29256000</v>
      </c>
      <c r="D197" s="239">
        <v>0</v>
      </c>
      <c r="E197" s="239">
        <v>0</v>
      </c>
      <c r="F197" s="239">
        <v>0</v>
      </c>
      <c r="G197" s="239">
        <v>0</v>
      </c>
      <c r="H197" s="239">
        <v>0</v>
      </c>
      <c r="I197" s="239">
        <v>0</v>
      </c>
      <c r="J197" s="239">
        <v>0</v>
      </c>
      <c r="K197" s="240">
        <f t="shared" ref="K197:K204" si="16">J197+I197+H197+G197+F197+E197+D197</f>
        <v>0</v>
      </c>
      <c r="L197" s="240">
        <f t="shared" ref="L197:L204" si="17">C197-K197</f>
        <v>29256000</v>
      </c>
      <c r="M197" s="15"/>
      <c r="N197" s="876">
        <f>C197-M197</f>
        <v>29256000</v>
      </c>
      <c r="O197" s="11">
        <f t="shared" ref="O197:O204" si="18">N197/C197</f>
        <v>1</v>
      </c>
      <c r="P197" s="293"/>
      <c r="Q197" s="30"/>
      <c r="R197" s="106"/>
    </row>
    <row r="198" spans="1:18" s="55" customFormat="1" ht="40.5" customHeight="1" x14ac:dyDescent="0.25">
      <c r="A198" s="146" t="s">
        <v>90</v>
      </c>
      <c r="B198" s="126">
        <v>2</v>
      </c>
      <c r="C198" s="874"/>
      <c r="D198" s="239">
        <v>0</v>
      </c>
      <c r="E198" s="239">
        <v>0</v>
      </c>
      <c r="F198" s="239">
        <v>0</v>
      </c>
      <c r="G198" s="239">
        <v>0</v>
      </c>
      <c r="H198" s="239">
        <v>0</v>
      </c>
      <c r="I198" s="239">
        <v>0</v>
      </c>
      <c r="J198" s="239">
        <v>0</v>
      </c>
      <c r="K198" s="240">
        <f>J198+I198+H198+G198+F198+E198+D198</f>
        <v>0</v>
      </c>
      <c r="L198" s="240">
        <f>C198-K198</f>
        <v>0</v>
      </c>
      <c r="M198" s="15"/>
      <c r="N198" s="877"/>
      <c r="O198" s="11"/>
      <c r="P198" s="481"/>
      <c r="Q198" s="30"/>
      <c r="R198" s="106"/>
    </row>
    <row r="199" spans="1:18" s="55" customFormat="1" ht="40.5" customHeight="1" x14ac:dyDescent="0.25">
      <c r="A199" s="146" t="s">
        <v>481</v>
      </c>
      <c r="B199" s="126">
        <v>80</v>
      </c>
      <c r="C199" s="874"/>
      <c r="D199" s="239">
        <v>0</v>
      </c>
      <c r="E199" s="239">
        <v>0</v>
      </c>
      <c r="F199" s="239">
        <v>0</v>
      </c>
      <c r="G199" s="239">
        <v>0</v>
      </c>
      <c r="H199" s="239">
        <v>0</v>
      </c>
      <c r="I199" s="239">
        <v>0</v>
      </c>
      <c r="J199" s="239">
        <v>0</v>
      </c>
      <c r="K199" s="240">
        <f>J199+I199+H199+G199+F199+E199+D199</f>
        <v>0</v>
      </c>
      <c r="L199" s="240">
        <f>C199-K199</f>
        <v>0</v>
      </c>
      <c r="M199" s="15"/>
      <c r="N199" s="877"/>
      <c r="O199" s="11"/>
      <c r="P199" s="481"/>
      <c r="Q199" s="30"/>
      <c r="R199" s="106"/>
    </row>
    <row r="200" spans="1:18" s="55" customFormat="1" ht="40.5" customHeight="1" x14ac:dyDescent="0.25">
      <c r="A200" s="146" t="s">
        <v>482</v>
      </c>
      <c r="B200" s="126">
        <v>70</v>
      </c>
      <c r="C200" s="874"/>
      <c r="D200" s="239">
        <v>0</v>
      </c>
      <c r="E200" s="239">
        <v>0</v>
      </c>
      <c r="F200" s="239">
        <v>0</v>
      </c>
      <c r="G200" s="239">
        <v>0</v>
      </c>
      <c r="H200" s="239">
        <v>0</v>
      </c>
      <c r="I200" s="239">
        <v>0</v>
      </c>
      <c r="J200" s="239">
        <v>0</v>
      </c>
      <c r="K200" s="240">
        <f>J200+I200+H200+G200+F200+E200+D200</f>
        <v>0</v>
      </c>
      <c r="L200" s="240">
        <f>C200-K200</f>
        <v>0</v>
      </c>
      <c r="M200" s="15"/>
      <c r="N200" s="877"/>
      <c r="O200" s="11"/>
      <c r="P200" s="481"/>
      <c r="Q200" s="30"/>
      <c r="R200" s="106"/>
    </row>
    <row r="201" spans="1:18" s="55" customFormat="1" ht="40.5" customHeight="1" x14ac:dyDescent="0.25">
      <c r="A201" s="145" t="s">
        <v>268</v>
      </c>
      <c r="B201" s="126">
        <v>3</v>
      </c>
      <c r="C201" s="874"/>
      <c r="D201" s="239">
        <v>0</v>
      </c>
      <c r="E201" s="239">
        <v>0</v>
      </c>
      <c r="F201" s="239">
        <v>0</v>
      </c>
      <c r="G201" s="239">
        <v>0</v>
      </c>
      <c r="H201" s="239">
        <v>0</v>
      </c>
      <c r="I201" s="239">
        <v>0</v>
      </c>
      <c r="J201" s="239">
        <v>0</v>
      </c>
      <c r="K201" s="240">
        <f>J201+I201+H201+G201+F201+E201+D201</f>
        <v>0</v>
      </c>
      <c r="L201" s="240">
        <f>C201-K201</f>
        <v>0</v>
      </c>
      <c r="M201" s="15"/>
      <c r="N201" s="877"/>
      <c r="O201" s="11" t="e">
        <f t="shared" si="18"/>
        <v>#DIV/0!</v>
      </c>
      <c r="P201" s="298"/>
      <c r="Q201" s="30"/>
      <c r="R201" s="106"/>
    </row>
    <row r="202" spans="1:18" s="55" customFormat="1" ht="40.5" customHeight="1" x14ac:dyDescent="0.25">
      <c r="A202" s="149" t="s">
        <v>91</v>
      </c>
      <c r="B202" s="126">
        <v>2</v>
      </c>
      <c r="C202" s="874"/>
      <c r="D202" s="239">
        <v>0</v>
      </c>
      <c r="E202" s="239">
        <v>0</v>
      </c>
      <c r="F202" s="239">
        <v>0</v>
      </c>
      <c r="G202" s="239">
        <v>0</v>
      </c>
      <c r="H202" s="239">
        <v>0</v>
      </c>
      <c r="I202" s="239">
        <v>0</v>
      </c>
      <c r="J202" s="239">
        <v>0</v>
      </c>
      <c r="K202" s="240">
        <f t="shared" si="16"/>
        <v>0</v>
      </c>
      <c r="L202" s="240">
        <f t="shared" si="17"/>
        <v>0</v>
      </c>
      <c r="M202" s="15"/>
      <c r="N202" s="877"/>
      <c r="O202" s="11" t="e">
        <f t="shared" si="18"/>
        <v>#DIV/0!</v>
      </c>
      <c r="P202" s="293"/>
      <c r="Q202" s="30"/>
      <c r="R202" s="106"/>
    </row>
    <row r="203" spans="1:18" s="55" customFormat="1" ht="40.5" customHeight="1" x14ac:dyDescent="0.25">
      <c r="A203" s="150" t="s">
        <v>269</v>
      </c>
      <c r="B203" s="126">
        <v>12</v>
      </c>
      <c r="C203" s="874"/>
      <c r="D203" s="239">
        <v>0</v>
      </c>
      <c r="E203" s="239">
        <v>0</v>
      </c>
      <c r="F203" s="239">
        <v>0</v>
      </c>
      <c r="G203" s="239">
        <v>0</v>
      </c>
      <c r="H203" s="239">
        <v>0</v>
      </c>
      <c r="I203" s="239">
        <v>0</v>
      </c>
      <c r="J203" s="239">
        <v>0</v>
      </c>
      <c r="K203" s="240">
        <f t="shared" si="16"/>
        <v>0</v>
      </c>
      <c r="L203" s="240">
        <f t="shared" si="17"/>
        <v>0</v>
      </c>
      <c r="M203" s="15"/>
      <c r="N203" s="877"/>
      <c r="O203" s="11" t="e">
        <f t="shared" si="18"/>
        <v>#DIV/0!</v>
      </c>
      <c r="P203" s="293"/>
      <c r="Q203" s="30"/>
      <c r="R203" s="106"/>
    </row>
    <row r="204" spans="1:18" s="55" customFormat="1" ht="40.5" customHeight="1" x14ac:dyDescent="0.25">
      <c r="A204" s="427" t="s">
        <v>483</v>
      </c>
      <c r="B204" s="126">
        <v>24</v>
      </c>
      <c r="C204" s="875"/>
      <c r="D204" s="239">
        <v>0</v>
      </c>
      <c r="E204" s="239">
        <v>0</v>
      </c>
      <c r="F204" s="239">
        <v>0</v>
      </c>
      <c r="G204" s="239">
        <v>0</v>
      </c>
      <c r="H204" s="239">
        <v>0</v>
      </c>
      <c r="I204" s="239">
        <v>0</v>
      </c>
      <c r="J204" s="239">
        <v>0</v>
      </c>
      <c r="K204" s="240">
        <f t="shared" si="16"/>
        <v>0</v>
      </c>
      <c r="L204" s="240">
        <f t="shared" si="17"/>
        <v>0</v>
      </c>
      <c r="M204" s="15"/>
      <c r="N204" s="878"/>
      <c r="O204" s="11" t="e">
        <f t="shared" si="18"/>
        <v>#DIV/0!</v>
      </c>
      <c r="P204" s="293"/>
      <c r="Q204" s="30"/>
      <c r="R204" s="106"/>
    </row>
    <row r="205" spans="1:18" s="55" customFormat="1" ht="25.5" customHeight="1" x14ac:dyDescent="0.25">
      <c r="A205" s="855" t="s">
        <v>92</v>
      </c>
      <c r="B205" s="853"/>
      <c r="C205" s="853"/>
      <c r="D205" s="853"/>
      <c r="E205" s="853"/>
      <c r="F205" s="853"/>
      <c r="G205" s="853"/>
      <c r="H205" s="853"/>
      <c r="I205" s="853"/>
      <c r="J205" s="853"/>
      <c r="K205" s="853"/>
      <c r="L205" s="853"/>
      <c r="M205" s="853"/>
      <c r="N205" s="853"/>
      <c r="O205" s="853"/>
      <c r="P205" s="853"/>
      <c r="Q205" s="854"/>
      <c r="R205" s="143"/>
    </row>
    <row r="206" spans="1:18" s="55" customFormat="1" ht="32.25" customHeight="1" x14ac:dyDescent="0.25">
      <c r="A206" s="145" t="s">
        <v>484</v>
      </c>
      <c r="B206" s="126" t="s">
        <v>491</v>
      </c>
      <c r="C206" s="873">
        <v>56747100</v>
      </c>
      <c r="D206" s="239">
        <v>0</v>
      </c>
      <c r="E206" s="239">
        <v>0</v>
      </c>
      <c r="F206" s="239">
        <v>0</v>
      </c>
      <c r="G206" s="239">
        <v>0</v>
      </c>
      <c r="H206" s="239">
        <v>0</v>
      </c>
      <c r="I206" s="239">
        <v>0</v>
      </c>
      <c r="J206" s="239">
        <v>0</v>
      </c>
      <c r="K206" s="240">
        <f>J206+I206+H206+G206+F206+E206+D206</f>
        <v>0</v>
      </c>
      <c r="L206" s="240">
        <f>C206-K206</f>
        <v>56747100</v>
      </c>
      <c r="M206" s="15"/>
      <c r="N206" s="10">
        <f>C206-M206</f>
        <v>56747100</v>
      </c>
      <c r="O206" s="11">
        <f>N206/C206</f>
        <v>1</v>
      </c>
      <c r="P206" s="293"/>
      <c r="Q206" s="30"/>
      <c r="R206" s="106"/>
    </row>
    <row r="207" spans="1:18" s="55" customFormat="1" ht="42.75" customHeight="1" x14ac:dyDescent="0.25">
      <c r="A207" s="146" t="s">
        <v>93</v>
      </c>
      <c r="B207" s="126">
        <v>3</v>
      </c>
      <c r="C207" s="874"/>
      <c r="D207" s="239">
        <v>0</v>
      </c>
      <c r="E207" s="239">
        <v>0</v>
      </c>
      <c r="F207" s="239">
        <v>0</v>
      </c>
      <c r="G207" s="239">
        <v>0</v>
      </c>
      <c r="H207" s="239">
        <v>0</v>
      </c>
      <c r="I207" s="239">
        <v>0</v>
      </c>
      <c r="J207" s="239">
        <v>0</v>
      </c>
      <c r="K207" s="240">
        <f>J207+I207+H207+G207+F207+E207+D207</f>
        <v>0</v>
      </c>
      <c r="L207" s="240">
        <f>C207-K207</f>
        <v>0</v>
      </c>
      <c r="M207" s="15"/>
      <c r="N207" s="10">
        <f>C207-M207</f>
        <v>0</v>
      </c>
      <c r="O207" s="11" t="e">
        <f>N207/C207</f>
        <v>#DIV/0!</v>
      </c>
      <c r="P207" s="293"/>
      <c r="Q207" s="30"/>
      <c r="R207" s="106"/>
    </row>
    <row r="208" spans="1:18" s="55" customFormat="1" ht="54.75" customHeight="1" x14ac:dyDescent="0.25">
      <c r="A208" s="145" t="s">
        <v>94</v>
      </c>
      <c r="B208" s="126" t="e">
        <f t="shared" ref="B208:B217" si="19">Q208+S208+U208+W208+Y208+O208+M208+K208+I208+G208+E208+C208</f>
        <v>#DIV/0!</v>
      </c>
      <c r="C208" s="874"/>
      <c r="D208" s="239">
        <v>0</v>
      </c>
      <c r="E208" s="239">
        <v>0</v>
      </c>
      <c r="F208" s="239">
        <v>0</v>
      </c>
      <c r="G208" s="239">
        <v>0</v>
      </c>
      <c r="H208" s="239">
        <v>0</v>
      </c>
      <c r="I208" s="239">
        <v>0</v>
      </c>
      <c r="J208" s="239">
        <v>0</v>
      </c>
      <c r="K208" s="240">
        <f>J208+I208+H208+G208+F208+E208+D208</f>
        <v>0</v>
      </c>
      <c r="L208" s="240">
        <f>C208-K208</f>
        <v>0</v>
      </c>
      <c r="M208" s="15"/>
      <c r="N208" s="10">
        <f>C208-M208</f>
        <v>0</v>
      </c>
      <c r="O208" s="11" t="e">
        <f>N208/C208</f>
        <v>#DIV/0!</v>
      </c>
      <c r="P208" s="298"/>
      <c r="Q208" s="30"/>
      <c r="R208" s="106"/>
    </row>
    <row r="209" spans="1:23" s="55" customFormat="1" ht="42" customHeight="1" x14ac:dyDescent="0.25">
      <c r="A209" s="146" t="s">
        <v>95</v>
      </c>
      <c r="B209" s="126">
        <v>10</v>
      </c>
      <c r="C209" s="874"/>
      <c r="D209" s="239">
        <v>0</v>
      </c>
      <c r="E209" s="239">
        <v>0</v>
      </c>
      <c r="F209" s="239">
        <v>0</v>
      </c>
      <c r="G209" s="239">
        <v>0</v>
      </c>
      <c r="H209" s="239">
        <v>0</v>
      </c>
      <c r="I209" s="239">
        <v>0</v>
      </c>
      <c r="J209" s="239">
        <v>0</v>
      </c>
      <c r="K209" s="240">
        <f>J209+I209+H209+G209+F209+E209+D209</f>
        <v>0</v>
      </c>
      <c r="L209" s="240">
        <f>C209-K209</f>
        <v>0</v>
      </c>
      <c r="M209" s="15"/>
      <c r="N209" s="10">
        <f>C209-M209</f>
        <v>0</v>
      </c>
      <c r="O209" s="11" t="e">
        <f>N209/C209</f>
        <v>#DIV/0!</v>
      </c>
      <c r="P209" s="293"/>
      <c r="Q209" s="30"/>
      <c r="R209" s="106"/>
    </row>
    <row r="210" spans="1:23" s="55" customFormat="1" ht="42" customHeight="1" x14ac:dyDescent="0.25">
      <c r="A210" s="151" t="s">
        <v>96</v>
      </c>
      <c r="B210" s="126" t="e">
        <f t="shared" si="19"/>
        <v>#DIV/0!</v>
      </c>
      <c r="C210" s="874"/>
      <c r="D210" s="239">
        <v>0</v>
      </c>
      <c r="E210" s="239">
        <v>0</v>
      </c>
      <c r="F210" s="239">
        <v>0</v>
      </c>
      <c r="G210" s="239">
        <v>0</v>
      </c>
      <c r="H210" s="239">
        <v>0</v>
      </c>
      <c r="I210" s="239">
        <v>0</v>
      </c>
      <c r="J210" s="239">
        <v>0</v>
      </c>
      <c r="K210" s="240">
        <f t="shared" ref="K210:K219" si="20">J210+I210+H210+G210+F210+E210+D210</f>
        <v>0</v>
      </c>
      <c r="L210" s="240">
        <f t="shared" ref="L210:L219" si="21">C210-K210</f>
        <v>0</v>
      </c>
      <c r="M210" s="15"/>
      <c r="N210" s="10">
        <f t="shared" ref="N210:N219" si="22">C210-M210</f>
        <v>0</v>
      </c>
      <c r="O210" s="11" t="e">
        <f t="shared" ref="O210:O219" si="23">N210/C210</f>
        <v>#DIV/0!</v>
      </c>
      <c r="P210" s="293"/>
      <c r="Q210" s="30"/>
      <c r="R210" s="106"/>
    </row>
    <row r="211" spans="1:23" s="55" customFormat="1" ht="42" customHeight="1" x14ac:dyDescent="0.25">
      <c r="A211" s="428" t="s">
        <v>485</v>
      </c>
      <c r="B211" s="126">
        <v>42</v>
      </c>
      <c r="C211" s="874"/>
      <c r="D211" s="239">
        <v>0</v>
      </c>
      <c r="E211" s="239">
        <v>0</v>
      </c>
      <c r="F211" s="239">
        <v>0</v>
      </c>
      <c r="G211" s="239">
        <v>0</v>
      </c>
      <c r="H211" s="239">
        <v>0</v>
      </c>
      <c r="I211" s="239">
        <v>0</v>
      </c>
      <c r="J211" s="239">
        <v>0</v>
      </c>
      <c r="K211" s="240">
        <f t="shared" si="20"/>
        <v>0</v>
      </c>
      <c r="L211" s="240">
        <f t="shared" si="21"/>
        <v>0</v>
      </c>
      <c r="M211" s="15"/>
      <c r="N211" s="10">
        <f t="shared" si="22"/>
        <v>0</v>
      </c>
      <c r="O211" s="11" t="e">
        <f t="shared" si="23"/>
        <v>#DIV/0!</v>
      </c>
      <c r="P211" s="293"/>
      <c r="Q211" s="30"/>
      <c r="R211" s="106"/>
    </row>
    <row r="212" spans="1:23" s="55" customFormat="1" ht="42" customHeight="1" x14ac:dyDescent="0.25">
      <c r="A212" s="428" t="s">
        <v>486</v>
      </c>
      <c r="B212" s="126" t="e">
        <f t="shared" si="19"/>
        <v>#DIV/0!</v>
      </c>
      <c r="C212" s="874"/>
      <c r="D212" s="239">
        <v>0</v>
      </c>
      <c r="E212" s="239">
        <v>0</v>
      </c>
      <c r="F212" s="239">
        <v>0</v>
      </c>
      <c r="G212" s="239">
        <v>0</v>
      </c>
      <c r="H212" s="239">
        <v>0</v>
      </c>
      <c r="I212" s="239">
        <v>0</v>
      </c>
      <c r="J212" s="239">
        <v>0</v>
      </c>
      <c r="K212" s="240">
        <f t="shared" si="20"/>
        <v>0</v>
      </c>
      <c r="L212" s="240">
        <f t="shared" si="21"/>
        <v>0</v>
      </c>
      <c r="M212" s="15"/>
      <c r="N212" s="10">
        <f t="shared" si="22"/>
        <v>0</v>
      </c>
      <c r="O212" s="11" t="e">
        <f t="shared" si="23"/>
        <v>#DIV/0!</v>
      </c>
      <c r="P212" s="293"/>
      <c r="Q212" s="30"/>
      <c r="R212" s="106"/>
    </row>
    <row r="213" spans="1:23" s="55" customFormat="1" ht="42" customHeight="1" x14ac:dyDescent="0.25">
      <c r="A213" s="146" t="s">
        <v>270</v>
      </c>
      <c r="B213" s="126">
        <v>1</v>
      </c>
      <c r="C213" s="874"/>
      <c r="D213" s="239">
        <v>0</v>
      </c>
      <c r="E213" s="239">
        <v>0</v>
      </c>
      <c r="F213" s="239">
        <v>0</v>
      </c>
      <c r="G213" s="239">
        <v>0</v>
      </c>
      <c r="H213" s="239">
        <v>0</v>
      </c>
      <c r="I213" s="239">
        <v>0</v>
      </c>
      <c r="J213" s="239">
        <v>0</v>
      </c>
      <c r="K213" s="240">
        <f t="shared" si="20"/>
        <v>0</v>
      </c>
      <c r="L213" s="240">
        <f t="shared" si="21"/>
        <v>0</v>
      </c>
      <c r="M213" s="15"/>
      <c r="N213" s="10">
        <f t="shared" si="22"/>
        <v>0</v>
      </c>
      <c r="O213" s="11" t="e">
        <f t="shared" si="23"/>
        <v>#DIV/0!</v>
      </c>
      <c r="P213" s="293"/>
      <c r="Q213" s="30"/>
      <c r="R213" s="106"/>
    </row>
    <row r="214" spans="1:23" s="55" customFormat="1" ht="42" customHeight="1" x14ac:dyDescent="0.25">
      <c r="A214" s="146" t="s">
        <v>487</v>
      </c>
      <c r="B214" s="126">
        <v>10</v>
      </c>
      <c r="C214" s="874"/>
      <c r="D214" s="239">
        <v>0</v>
      </c>
      <c r="E214" s="239">
        <v>0</v>
      </c>
      <c r="F214" s="239">
        <v>0</v>
      </c>
      <c r="G214" s="239">
        <v>0</v>
      </c>
      <c r="H214" s="239">
        <v>0</v>
      </c>
      <c r="I214" s="239">
        <v>0</v>
      </c>
      <c r="J214" s="239">
        <v>0</v>
      </c>
      <c r="K214" s="240">
        <f t="shared" si="20"/>
        <v>0</v>
      </c>
      <c r="L214" s="240">
        <f t="shared" si="21"/>
        <v>0</v>
      </c>
      <c r="M214" s="15"/>
      <c r="N214" s="10">
        <f t="shared" si="22"/>
        <v>0</v>
      </c>
      <c r="O214" s="11" t="e">
        <f t="shared" si="23"/>
        <v>#DIV/0!</v>
      </c>
      <c r="P214" s="293"/>
      <c r="Q214" s="30"/>
      <c r="R214" s="106"/>
    </row>
    <row r="215" spans="1:23" s="55" customFormat="1" ht="42" customHeight="1" x14ac:dyDescent="0.25">
      <c r="A215" s="152" t="s">
        <v>97</v>
      </c>
      <c r="B215" s="126" t="e">
        <f t="shared" si="19"/>
        <v>#DIV/0!</v>
      </c>
      <c r="C215" s="874"/>
      <c r="D215" s="239">
        <v>0</v>
      </c>
      <c r="E215" s="239">
        <v>0</v>
      </c>
      <c r="F215" s="239">
        <v>0</v>
      </c>
      <c r="G215" s="239">
        <v>0</v>
      </c>
      <c r="H215" s="239">
        <v>0</v>
      </c>
      <c r="I215" s="239">
        <v>0</v>
      </c>
      <c r="J215" s="239">
        <v>0</v>
      </c>
      <c r="K215" s="240">
        <f t="shared" si="20"/>
        <v>0</v>
      </c>
      <c r="L215" s="240">
        <f t="shared" si="21"/>
        <v>0</v>
      </c>
      <c r="M215" s="15"/>
      <c r="N215" s="10">
        <f t="shared" si="22"/>
        <v>0</v>
      </c>
      <c r="O215" s="11" t="e">
        <f t="shared" si="23"/>
        <v>#DIV/0!</v>
      </c>
      <c r="P215" s="293"/>
      <c r="Q215" s="30"/>
      <c r="R215" s="106"/>
    </row>
    <row r="216" spans="1:23" s="55" customFormat="1" ht="54" customHeight="1" x14ac:dyDescent="0.25">
      <c r="A216" s="152" t="s">
        <v>488</v>
      </c>
      <c r="B216" s="126" t="s">
        <v>241</v>
      </c>
      <c r="C216" s="874"/>
      <c r="D216" s="239">
        <v>0</v>
      </c>
      <c r="E216" s="239">
        <v>0</v>
      </c>
      <c r="F216" s="239">
        <v>0</v>
      </c>
      <c r="G216" s="239">
        <v>0</v>
      </c>
      <c r="H216" s="239">
        <v>0</v>
      </c>
      <c r="I216" s="239">
        <v>0</v>
      </c>
      <c r="J216" s="239">
        <v>0</v>
      </c>
      <c r="K216" s="240">
        <f t="shared" si="20"/>
        <v>0</v>
      </c>
      <c r="L216" s="240">
        <f t="shared" si="21"/>
        <v>0</v>
      </c>
      <c r="M216" s="15"/>
      <c r="N216" s="10">
        <f t="shared" si="22"/>
        <v>0</v>
      </c>
      <c r="O216" s="11" t="e">
        <f t="shared" si="23"/>
        <v>#DIV/0!</v>
      </c>
      <c r="P216" s="293"/>
      <c r="Q216" s="30"/>
      <c r="R216" s="143"/>
    </row>
    <row r="217" spans="1:23" s="55" customFormat="1" ht="24.75" customHeight="1" x14ac:dyDescent="0.25">
      <c r="A217" s="30" t="s">
        <v>98</v>
      </c>
      <c r="B217" s="34" t="e">
        <f t="shared" si="19"/>
        <v>#DIV/0!</v>
      </c>
      <c r="C217" s="874"/>
      <c r="D217" s="239">
        <v>0</v>
      </c>
      <c r="E217" s="239">
        <v>0</v>
      </c>
      <c r="F217" s="239">
        <v>0</v>
      </c>
      <c r="G217" s="239">
        <v>0</v>
      </c>
      <c r="H217" s="239">
        <v>0</v>
      </c>
      <c r="I217" s="239">
        <v>0</v>
      </c>
      <c r="J217" s="239">
        <v>0</v>
      </c>
      <c r="K217" s="240">
        <f t="shared" si="20"/>
        <v>0</v>
      </c>
      <c r="L217" s="240">
        <f t="shared" si="21"/>
        <v>0</v>
      </c>
      <c r="M217" s="15"/>
      <c r="N217" s="10">
        <f t="shared" si="22"/>
        <v>0</v>
      </c>
      <c r="O217" s="11" t="e">
        <f t="shared" si="23"/>
        <v>#DIV/0!</v>
      </c>
      <c r="P217" s="293"/>
      <c r="Q217" s="30"/>
      <c r="R217" s="106"/>
    </row>
    <row r="218" spans="1:23" s="55" customFormat="1" ht="33.75" customHeight="1" x14ac:dyDescent="0.25">
      <c r="A218" s="14" t="s">
        <v>99</v>
      </c>
      <c r="B218" s="34">
        <v>5</v>
      </c>
      <c r="C218" s="874"/>
      <c r="D218" s="239">
        <v>0</v>
      </c>
      <c r="E218" s="239">
        <v>0</v>
      </c>
      <c r="F218" s="239">
        <v>0</v>
      </c>
      <c r="G218" s="239">
        <v>0</v>
      </c>
      <c r="H218" s="239">
        <v>0</v>
      </c>
      <c r="I218" s="239">
        <v>0</v>
      </c>
      <c r="J218" s="239">
        <v>0</v>
      </c>
      <c r="K218" s="240">
        <f t="shared" si="20"/>
        <v>0</v>
      </c>
      <c r="L218" s="240">
        <f t="shared" si="21"/>
        <v>0</v>
      </c>
      <c r="M218" s="15"/>
      <c r="N218" s="10">
        <f t="shared" si="22"/>
        <v>0</v>
      </c>
      <c r="O218" s="11" t="e">
        <f t="shared" si="23"/>
        <v>#DIV/0!</v>
      </c>
      <c r="P218" s="293"/>
      <c r="Q218" s="30"/>
      <c r="R218" s="106"/>
    </row>
    <row r="219" spans="1:23" s="55" customFormat="1" ht="44.25" customHeight="1" x14ac:dyDescent="0.25">
      <c r="A219" s="14" t="s">
        <v>271</v>
      </c>
      <c r="B219" s="34">
        <v>6</v>
      </c>
      <c r="C219" s="874"/>
      <c r="D219" s="239">
        <v>0</v>
      </c>
      <c r="E219" s="239">
        <v>0</v>
      </c>
      <c r="F219" s="239">
        <v>0</v>
      </c>
      <c r="G219" s="239">
        <v>0</v>
      </c>
      <c r="H219" s="239">
        <v>0</v>
      </c>
      <c r="I219" s="239">
        <v>0</v>
      </c>
      <c r="J219" s="239">
        <v>0</v>
      </c>
      <c r="K219" s="240">
        <f t="shared" si="20"/>
        <v>0</v>
      </c>
      <c r="L219" s="240">
        <f t="shared" si="21"/>
        <v>0</v>
      </c>
      <c r="M219" s="15"/>
      <c r="N219" s="10">
        <f t="shared" si="22"/>
        <v>0</v>
      </c>
      <c r="O219" s="11" t="e">
        <f t="shared" si="23"/>
        <v>#DIV/0!</v>
      </c>
      <c r="P219" s="293"/>
      <c r="Q219" s="30"/>
      <c r="R219" s="106"/>
    </row>
    <row r="220" spans="1:23" s="55" customFormat="1" ht="62.25" customHeight="1" x14ac:dyDescent="0.25">
      <c r="A220" s="429" t="s">
        <v>489</v>
      </c>
      <c r="B220" s="126">
        <v>6</v>
      </c>
      <c r="C220" s="875"/>
      <c r="D220" s="239">
        <v>0</v>
      </c>
      <c r="E220" s="239">
        <v>0</v>
      </c>
      <c r="F220" s="239">
        <v>0</v>
      </c>
      <c r="G220" s="239">
        <v>0</v>
      </c>
      <c r="H220" s="239">
        <v>0</v>
      </c>
      <c r="I220" s="239">
        <v>0</v>
      </c>
      <c r="J220" s="239">
        <v>0</v>
      </c>
      <c r="K220" s="240">
        <f>J220+I220+H220+G220+F220+E220+D220</f>
        <v>0</v>
      </c>
      <c r="L220" s="240">
        <f>C220-K220</f>
        <v>0</v>
      </c>
      <c r="M220" s="15"/>
      <c r="N220" s="10">
        <f>C220-M220</f>
        <v>0</v>
      </c>
      <c r="O220" s="11" t="e">
        <f>N220/C220</f>
        <v>#DIV/0!</v>
      </c>
      <c r="P220" s="298"/>
      <c r="R220" s="143"/>
      <c r="T220" s="23">
        <v>225556813</v>
      </c>
    </row>
    <row r="221" spans="1:23" s="55" customFormat="1" x14ac:dyDescent="0.25">
      <c r="A221" s="145" t="s">
        <v>490</v>
      </c>
      <c r="B221" s="286">
        <v>6</v>
      </c>
      <c r="C221" s="242">
        <v>259036287</v>
      </c>
      <c r="D221" s="239">
        <v>0</v>
      </c>
      <c r="E221" s="239">
        <v>0</v>
      </c>
      <c r="F221" s="239">
        <v>0</v>
      </c>
      <c r="G221" s="239">
        <v>0</v>
      </c>
      <c r="H221" s="239">
        <v>0</v>
      </c>
      <c r="I221" s="239">
        <v>0</v>
      </c>
      <c r="J221" s="239">
        <v>0</v>
      </c>
      <c r="K221" s="240">
        <f>J221+I221+H221+G221+F221+E221+D221</f>
        <v>0</v>
      </c>
      <c r="L221" s="240">
        <f>C221-K221</f>
        <v>259036287</v>
      </c>
      <c r="M221" s="15"/>
      <c r="N221" s="10">
        <f>C221-M221</f>
        <v>259036287</v>
      </c>
      <c r="O221" s="11">
        <f>N221/C221</f>
        <v>1</v>
      </c>
      <c r="P221" s="293"/>
      <c r="Q221" s="340"/>
      <c r="R221" s="143"/>
      <c r="T221" s="95"/>
    </row>
    <row r="222" spans="1:23" ht="15.75" x14ac:dyDescent="0.25">
      <c r="A222" s="851" t="s">
        <v>100</v>
      </c>
      <c r="B222" s="852"/>
      <c r="C222" s="195">
        <f>SUM(C180:C221)</f>
        <v>405599307</v>
      </c>
      <c r="D222" s="195"/>
      <c r="E222" s="195"/>
      <c r="F222" s="195"/>
      <c r="G222" s="195"/>
      <c r="H222" s="255"/>
      <c r="I222" s="195"/>
      <c r="J222" s="195"/>
      <c r="K222" s="195">
        <f>SUM(K180:K221)</f>
        <v>0</v>
      </c>
      <c r="L222" s="195">
        <f>SUM(L180:L221)</f>
        <v>405599307</v>
      </c>
      <c r="M222" s="16">
        <f>SUM(M180:M221)</f>
        <v>0</v>
      </c>
      <c r="N222" s="17">
        <f>C222-M222</f>
        <v>405599307</v>
      </c>
      <c r="O222" s="18">
        <f>N222/C222</f>
        <v>1</v>
      </c>
      <c r="P222" s="19"/>
      <c r="Q222" s="20"/>
      <c r="R222" s="105"/>
      <c r="T222" s="50"/>
      <c r="U222" s="50"/>
      <c r="V222" s="50"/>
      <c r="W222" s="50"/>
    </row>
    <row r="223" spans="1:23" ht="12.75" customHeight="1" x14ac:dyDescent="0.25">
      <c r="A223" s="21" t="s">
        <v>1</v>
      </c>
      <c r="B223" s="839" t="s">
        <v>45</v>
      </c>
      <c r="C223" s="840"/>
      <c r="D223" s="840"/>
      <c r="E223" s="840"/>
      <c r="F223" s="840"/>
      <c r="G223" s="840"/>
      <c r="H223" s="840"/>
      <c r="I223" s="840"/>
      <c r="J223" s="840"/>
      <c r="K223" s="840"/>
      <c r="L223" s="840"/>
      <c r="M223" s="840"/>
      <c r="N223" s="840"/>
      <c r="O223" s="840"/>
      <c r="P223" s="840"/>
      <c r="Q223" s="840"/>
      <c r="R223" s="841"/>
      <c r="T223" s="50"/>
      <c r="U223" s="50"/>
      <c r="V223" s="50"/>
      <c r="W223" s="50"/>
    </row>
    <row r="224" spans="1:23" ht="12.75" customHeight="1" x14ac:dyDescent="0.25">
      <c r="A224" s="21" t="s">
        <v>3</v>
      </c>
      <c r="B224" s="839" t="s">
        <v>77</v>
      </c>
      <c r="C224" s="840"/>
      <c r="D224" s="840"/>
      <c r="E224" s="840"/>
      <c r="F224" s="840"/>
      <c r="G224" s="840"/>
      <c r="H224" s="840"/>
      <c r="I224" s="840"/>
      <c r="J224" s="840"/>
      <c r="K224" s="840"/>
      <c r="L224" s="840"/>
      <c r="M224" s="840"/>
      <c r="N224" s="840"/>
      <c r="O224" s="840"/>
      <c r="P224" s="840"/>
      <c r="Q224" s="840"/>
      <c r="R224" s="841"/>
      <c r="T224" s="50"/>
      <c r="U224" s="50"/>
      <c r="V224" s="50"/>
      <c r="W224" s="50"/>
    </row>
    <row r="225" spans="1:23" x14ac:dyDescent="0.25">
      <c r="A225" s="21" t="s">
        <v>5</v>
      </c>
      <c r="B225" s="842" t="s">
        <v>273</v>
      </c>
      <c r="C225" s="843"/>
      <c r="D225" s="843"/>
      <c r="E225" s="843"/>
      <c r="F225" s="843"/>
      <c r="G225" s="843"/>
      <c r="H225" s="843"/>
      <c r="I225" s="843"/>
      <c r="J225" s="843"/>
      <c r="K225" s="843"/>
      <c r="L225" s="843"/>
      <c r="M225" s="843"/>
      <c r="N225" s="843"/>
      <c r="O225" s="843"/>
      <c r="P225" s="843"/>
      <c r="Q225" s="843"/>
      <c r="R225" s="844"/>
      <c r="T225" s="50"/>
      <c r="U225" s="50"/>
      <c r="V225" s="50"/>
      <c r="W225" s="50"/>
    </row>
    <row r="226" spans="1:23" x14ac:dyDescent="0.25">
      <c r="A226" s="21" t="s">
        <v>6</v>
      </c>
      <c r="B226" s="842" t="s">
        <v>79</v>
      </c>
      <c r="C226" s="843"/>
      <c r="D226" s="843"/>
      <c r="E226" s="843"/>
      <c r="F226" s="843"/>
      <c r="G226" s="843"/>
      <c r="H226" s="843"/>
      <c r="I226" s="843"/>
      <c r="J226" s="843"/>
      <c r="K226" s="843"/>
      <c r="L226" s="843"/>
      <c r="M226" s="843"/>
      <c r="N226" s="843"/>
      <c r="O226" s="843"/>
      <c r="P226" s="843"/>
      <c r="Q226" s="843"/>
      <c r="R226" s="844"/>
      <c r="T226" s="50"/>
      <c r="U226" s="50"/>
      <c r="V226" s="50"/>
      <c r="W226" s="50"/>
    </row>
    <row r="227" spans="1:23" x14ac:dyDescent="0.25">
      <c r="A227" s="339" t="s">
        <v>8</v>
      </c>
      <c r="B227" s="842" t="s">
        <v>273</v>
      </c>
      <c r="C227" s="843"/>
      <c r="D227" s="843"/>
      <c r="E227" s="843"/>
      <c r="F227" s="843"/>
      <c r="G227" s="843"/>
      <c r="H227" s="843"/>
      <c r="I227" s="843"/>
      <c r="J227" s="843"/>
      <c r="K227" s="843"/>
      <c r="L227" s="843"/>
      <c r="M227" s="843"/>
      <c r="N227" s="843"/>
      <c r="O227" s="843"/>
      <c r="P227" s="843"/>
      <c r="Q227" s="843"/>
      <c r="R227" s="844"/>
      <c r="T227" s="50"/>
      <c r="U227" s="50"/>
      <c r="V227" s="50"/>
      <c r="W227" s="50"/>
    </row>
    <row r="228" spans="1:23" ht="12.75" customHeight="1" x14ac:dyDescent="0.25">
      <c r="A228" s="825" t="s">
        <v>10</v>
      </c>
      <c r="B228" s="793" t="s">
        <v>11</v>
      </c>
      <c r="C228" s="813" t="s">
        <v>12</v>
      </c>
      <c r="D228" s="815" t="s">
        <v>361</v>
      </c>
      <c r="E228" s="816"/>
      <c r="F228" s="816"/>
      <c r="G228" s="816"/>
      <c r="H228" s="816"/>
      <c r="I228" s="816"/>
      <c r="J228" s="816"/>
      <c r="K228" s="816"/>
      <c r="L228" s="817"/>
      <c r="M228" s="818" t="s">
        <v>13</v>
      </c>
      <c r="N228" s="811" t="s">
        <v>14</v>
      </c>
      <c r="O228" s="793" t="s">
        <v>15</v>
      </c>
      <c r="P228" s="795" t="s">
        <v>16</v>
      </c>
      <c r="Q228" s="793" t="s">
        <v>17</v>
      </c>
      <c r="R228" s="797" t="s">
        <v>18</v>
      </c>
      <c r="T228" s="50"/>
      <c r="U228" s="50"/>
      <c r="V228" s="50"/>
      <c r="W228" s="50"/>
    </row>
    <row r="229" spans="1:23" ht="26.25" customHeight="1" x14ac:dyDescent="0.25">
      <c r="A229" s="826"/>
      <c r="B229" s="794"/>
      <c r="C229" s="814"/>
      <c r="D229" s="193" t="s">
        <v>366</v>
      </c>
      <c r="E229" s="193" t="s">
        <v>362</v>
      </c>
      <c r="F229" s="193" t="s">
        <v>355</v>
      </c>
      <c r="G229" s="193" t="s">
        <v>357</v>
      </c>
      <c r="H229" s="193" t="s">
        <v>352</v>
      </c>
      <c r="I229" s="193" t="s">
        <v>354</v>
      </c>
      <c r="J229" s="193" t="s">
        <v>353</v>
      </c>
      <c r="K229" s="193" t="s">
        <v>356</v>
      </c>
      <c r="L229" s="193" t="s">
        <v>359</v>
      </c>
      <c r="M229" s="819"/>
      <c r="N229" s="812"/>
      <c r="O229" s="794"/>
      <c r="P229" s="796"/>
      <c r="Q229" s="794"/>
      <c r="R229" s="798"/>
      <c r="T229" s="50"/>
      <c r="U229" s="50"/>
      <c r="V229" s="50"/>
      <c r="W229" s="50"/>
    </row>
    <row r="230" spans="1:23" s="55" customFormat="1" ht="84" customHeight="1" x14ac:dyDescent="0.25">
      <c r="A230" s="153" t="s">
        <v>492</v>
      </c>
      <c r="B230" s="431">
        <v>1</v>
      </c>
      <c r="C230" s="180">
        <v>20000000</v>
      </c>
      <c r="D230" s="239">
        <v>0</v>
      </c>
      <c r="E230" s="239">
        <v>0</v>
      </c>
      <c r="F230" s="239">
        <v>0</v>
      </c>
      <c r="G230" s="239">
        <v>0</v>
      </c>
      <c r="H230" s="239">
        <v>0</v>
      </c>
      <c r="I230" s="239">
        <v>0</v>
      </c>
      <c r="J230" s="239">
        <v>0</v>
      </c>
      <c r="K230" s="240">
        <f t="shared" ref="K230:K240" si="24">J230+I230+H230+G230+F230+E230+D230</f>
        <v>0</v>
      </c>
      <c r="L230" s="240">
        <f t="shared" ref="L230:L240" si="25">C230-K230</f>
        <v>20000000</v>
      </c>
      <c r="M230" s="15"/>
      <c r="N230" s="10">
        <f t="shared" ref="N230:N240" si="26">C230-M230</f>
        <v>20000000</v>
      </c>
      <c r="O230" s="11">
        <f t="shared" ref="O230:O240" si="27">N230/C230</f>
        <v>1</v>
      </c>
      <c r="P230" s="293"/>
      <c r="Q230" s="30"/>
      <c r="R230" s="143"/>
    </row>
    <row r="231" spans="1:23" s="55" customFormat="1" ht="84" customHeight="1" x14ac:dyDescent="0.25">
      <c r="A231" s="153" t="s">
        <v>493</v>
      </c>
      <c r="B231" s="430">
        <v>1</v>
      </c>
      <c r="C231" s="154">
        <v>30000000</v>
      </c>
      <c r="D231" s="239">
        <v>0</v>
      </c>
      <c r="E231" s="239">
        <v>0</v>
      </c>
      <c r="F231" s="239">
        <v>0</v>
      </c>
      <c r="G231" s="239">
        <v>0</v>
      </c>
      <c r="H231" s="239">
        <v>0</v>
      </c>
      <c r="I231" s="239">
        <v>0</v>
      </c>
      <c r="J231" s="239">
        <v>0</v>
      </c>
      <c r="K231" s="240">
        <f t="shared" si="24"/>
        <v>0</v>
      </c>
      <c r="L231" s="240">
        <f t="shared" si="25"/>
        <v>30000000</v>
      </c>
      <c r="M231" s="15"/>
      <c r="N231" s="10">
        <f t="shared" si="26"/>
        <v>30000000</v>
      </c>
      <c r="O231" s="11">
        <f t="shared" si="27"/>
        <v>1</v>
      </c>
      <c r="P231" s="24"/>
      <c r="Q231" s="30"/>
      <c r="R231" s="143"/>
    </row>
    <row r="232" spans="1:23" s="55" customFormat="1" ht="84" customHeight="1" x14ac:dyDescent="0.25">
      <c r="A232" s="153" t="s">
        <v>494</v>
      </c>
      <c r="B232" s="430">
        <v>15</v>
      </c>
      <c r="C232" s="154">
        <v>20000000</v>
      </c>
      <c r="D232" s="239">
        <v>0</v>
      </c>
      <c r="E232" s="239">
        <v>0</v>
      </c>
      <c r="F232" s="239">
        <v>0</v>
      </c>
      <c r="G232" s="239">
        <v>0</v>
      </c>
      <c r="H232" s="239">
        <v>0</v>
      </c>
      <c r="I232" s="239">
        <v>0</v>
      </c>
      <c r="J232" s="239">
        <v>0</v>
      </c>
      <c r="K232" s="240">
        <f t="shared" si="24"/>
        <v>0</v>
      </c>
      <c r="L232" s="240">
        <f t="shared" si="25"/>
        <v>20000000</v>
      </c>
      <c r="M232" s="15"/>
      <c r="N232" s="10">
        <f t="shared" si="26"/>
        <v>20000000</v>
      </c>
      <c r="O232" s="11">
        <f t="shared" si="27"/>
        <v>1</v>
      </c>
      <c r="P232" s="24"/>
      <c r="Q232" s="30"/>
      <c r="R232" s="143"/>
    </row>
    <row r="233" spans="1:23" s="55" customFormat="1" ht="84" customHeight="1" x14ac:dyDescent="0.25">
      <c r="A233" s="153" t="s">
        <v>495</v>
      </c>
      <c r="B233" s="430">
        <v>21</v>
      </c>
      <c r="C233" s="154">
        <v>30000000</v>
      </c>
      <c r="D233" s="239">
        <v>0</v>
      </c>
      <c r="E233" s="239">
        <v>0</v>
      </c>
      <c r="F233" s="239">
        <v>0</v>
      </c>
      <c r="G233" s="239">
        <v>0</v>
      </c>
      <c r="H233" s="239">
        <v>0</v>
      </c>
      <c r="I233" s="239">
        <v>0</v>
      </c>
      <c r="J233" s="239">
        <v>0</v>
      </c>
      <c r="K233" s="240">
        <f t="shared" si="24"/>
        <v>0</v>
      </c>
      <c r="L233" s="240">
        <f t="shared" si="25"/>
        <v>30000000</v>
      </c>
      <c r="M233" s="15"/>
      <c r="N233" s="10">
        <f t="shared" si="26"/>
        <v>30000000</v>
      </c>
      <c r="O233" s="11">
        <f t="shared" si="27"/>
        <v>1</v>
      </c>
      <c r="P233" s="24"/>
      <c r="Q233" s="30"/>
      <c r="R233" s="143"/>
    </row>
    <row r="234" spans="1:23" s="55" customFormat="1" ht="84" customHeight="1" x14ac:dyDescent="0.25">
      <c r="A234" s="153" t="s">
        <v>496</v>
      </c>
      <c r="B234" s="430">
        <v>25</v>
      </c>
      <c r="C234" s="154">
        <v>30000000</v>
      </c>
      <c r="D234" s="239">
        <v>0</v>
      </c>
      <c r="E234" s="239">
        <v>0</v>
      </c>
      <c r="F234" s="239">
        <v>0</v>
      </c>
      <c r="G234" s="239">
        <v>0</v>
      </c>
      <c r="H234" s="239">
        <v>0</v>
      </c>
      <c r="I234" s="239">
        <v>0</v>
      </c>
      <c r="J234" s="239">
        <v>0</v>
      </c>
      <c r="K234" s="240">
        <f t="shared" si="24"/>
        <v>0</v>
      </c>
      <c r="L234" s="240">
        <f t="shared" si="25"/>
        <v>30000000</v>
      </c>
      <c r="M234" s="15"/>
      <c r="N234" s="10">
        <f t="shared" si="26"/>
        <v>30000000</v>
      </c>
      <c r="O234" s="11">
        <f t="shared" si="27"/>
        <v>1</v>
      </c>
      <c r="P234" s="24"/>
      <c r="Q234" s="30"/>
      <c r="R234" s="143"/>
    </row>
    <row r="235" spans="1:23" s="55" customFormat="1" ht="84" customHeight="1" x14ac:dyDescent="0.25">
      <c r="A235" s="155" t="s">
        <v>497</v>
      </c>
      <c r="B235" s="8">
        <v>1</v>
      </c>
      <c r="C235" s="154">
        <v>10000000</v>
      </c>
      <c r="D235" s="239">
        <v>0</v>
      </c>
      <c r="E235" s="239">
        <v>0</v>
      </c>
      <c r="F235" s="239">
        <v>0</v>
      </c>
      <c r="G235" s="239">
        <v>0</v>
      </c>
      <c r="H235" s="239">
        <v>0</v>
      </c>
      <c r="I235" s="239">
        <v>0</v>
      </c>
      <c r="J235" s="239">
        <v>0</v>
      </c>
      <c r="K235" s="240">
        <f>J235+I235+H235+G235+F235+E235+D235</f>
        <v>0</v>
      </c>
      <c r="L235" s="240">
        <f>C235-K235</f>
        <v>10000000</v>
      </c>
      <c r="M235" s="15"/>
      <c r="N235" s="10">
        <f>C235-M235</f>
        <v>10000000</v>
      </c>
      <c r="O235" s="11">
        <f>N235/C235</f>
        <v>1</v>
      </c>
      <c r="P235" s="24"/>
      <c r="Q235" s="30"/>
      <c r="R235" s="143"/>
    </row>
    <row r="236" spans="1:23" s="55" customFormat="1" ht="84" customHeight="1" x14ac:dyDescent="0.25">
      <c r="A236" s="153" t="s">
        <v>498</v>
      </c>
      <c r="B236" s="3">
        <v>1</v>
      </c>
      <c r="C236" s="154">
        <v>15000000</v>
      </c>
      <c r="D236" s="239">
        <v>0</v>
      </c>
      <c r="E236" s="239">
        <v>0</v>
      </c>
      <c r="F236" s="239">
        <v>0</v>
      </c>
      <c r="G236" s="239">
        <v>0</v>
      </c>
      <c r="H236" s="239">
        <v>0</v>
      </c>
      <c r="I236" s="239">
        <v>0</v>
      </c>
      <c r="J236" s="239">
        <v>0</v>
      </c>
      <c r="K236" s="240">
        <f>J236+I236+H236+G236+F236+E236+D236</f>
        <v>0</v>
      </c>
      <c r="L236" s="240">
        <f>C236-K236</f>
        <v>15000000</v>
      </c>
      <c r="M236" s="15"/>
      <c r="N236" s="10">
        <f>C236-M236</f>
        <v>15000000</v>
      </c>
      <c r="O236" s="11">
        <f>N236/C236</f>
        <v>1</v>
      </c>
      <c r="P236" s="24"/>
      <c r="Q236" s="30"/>
      <c r="R236" s="143"/>
    </row>
    <row r="237" spans="1:23" s="55" customFormat="1" ht="84" customHeight="1" x14ac:dyDescent="0.25">
      <c r="A237" s="153" t="s">
        <v>499</v>
      </c>
      <c r="B237" s="286">
        <v>8</v>
      </c>
      <c r="C237" s="154">
        <v>6000000</v>
      </c>
      <c r="D237" s="239">
        <v>0</v>
      </c>
      <c r="E237" s="239">
        <v>0</v>
      </c>
      <c r="F237" s="239">
        <v>0</v>
      </c>
      <c r="G237" s="239">
        <v>0</v>
      </c>
      <c r="H237" s="239">
        <v>0</v>
      </c>
      <c r="I237" s="239">
        <v>0</v>
      </c>
      <c r="J237" s="239">
        <v>0</v>
      </c>
      <c r="K237" s="240">
        <f t="shared" si="24"/>
        <v>0</v>
      </c>
      <c r="L237" s="240">
        <f t="shared" si="25"/>
        <v>6000000</v>
      </c>
      <c r="M237" s="15"/>
      <c r="N237" s="10">
        <f t="shared" si="26"/>
        <v>6000000</v>
      </c>
      <c r="O237" s="11">
        <f t="shared" si="27"/>
        <v>1</v>
      </c>
      <c r="P237" s="293"/>
      <c r="Q237" s="30"/>
      <c r="R237" s="143"/>
    </row>
    <row r="238" spans="1:23" s="55" customFormat="1" ht="84" customHeight="1" x14ac:dyDescent="0.25">
      <c r="A238" s="432" t="s">
        <v>500</v>
      </c>
      <c r="B238" s="286">
        <v>1</v>
      </c>
      <c r="C238" s="180">
        <v>30000000</v>
      </c>
      <c r="D238" s="239">
        <v>0</v>
      </c>
      <c r="E238" s="239">
        <v>0</v>
      </c>
      <c r="F238" s="239">
        <v>0</v>
      </c>
      <c r="G238" s="239">
        <v>0</v>
      </c>
      <c r="H238" s="239">
        <v>0</v>
      </c>
      <c r="I238" s="239">
        <v>0</v>
      </c>
      <c r="J238" s="239">
        <v>0</v>
      </c>
      <c r="K238" s="240">
        <f t="shared" si="24"/>
        <v>0</v>
      </c>
      <c r="L238" s="240">
        <f t="shared" si="25"/>
        <v>30000000</v>
      </c>
      <c r="M238" s="15"/>
      <c r="N238" s="10">
        <f t="shared" si="26"/>
        <v>30000000</v>
      </c>
      <c r="O238" s="11">
        <f t="shared" si="27"/>
        <v>1</v>
      </c>
      <c r="P238" s="24"/>
      <c r="Q238" s="30"/>
      <c r="R238" s="143"/>
    </row>
    <row r="239" spans="1:23" s="55" customFormat="1" ht="84" customHeight="1" x14ac:dyDescent="0.25">
      <c r="A239" s="153" t="s">
        <v>501</v>
      </c>
      <c r="B239" s="286">
        <v>1</v>
      </c>
      <c r="C239" s="154">
        <v>20000000</v>
      </c>
      <c r="D239" s="239">
        <v>0</v>
      </c>
      <c r="E239" s="239">
        <v>0</v>
      </c>
      <c r="F239" s="239">
        <v>0</v>
      </c>
      <c r="G239" s="239">
        <v>0</v>
      </c>
      <c r="H239" s="239">
        <v>0</v>
      </c>
      <c r="I239" s="239">
        <v>0</v>
      </c>
      <c r="J239" s="239">
        <v>0</v>
      </c>
      <c r="K239" s="240">
        <f t="shared" si="24"/>
        <v>0</v>
      </c>
      <c r="L239" s="240">
        <f t="shared" si="25"/>
        <v>20000000</v>
      </c>
      <c r="M239" s="15"/>
      <c r="N239" s="10">
        <f t="shared" si="26"/>
        <v>20000000</v>
      </c>
      <c r="O239" s="11">
        <f t="shared" si="27"/>
        <v>1</v>
      </c>
      <c r="P239" s="24"/>
      <c r="Q239" s="30"/>
      <c r="R239" s="143"/>
    </row>
    <row r="240" spans="1:23" s="55" customFormat="1" ht="14.25" x14ac:dyDescent="0.25">
      <c r="A240" s="145" t="s">
        <v>490</v>
      </c>
      <c r="B240" s="286">
        <v>5</v>
      </c>
      <c r="C240" s="242">
        <v>307375015</v>
      </c>
      <c r="D240" s="239">
        <v>0</v>
      </c>
      <c r="E240" s="239">
        <v>0</v>
      </c>
      <c r="F240" s="239">
        <v>0</v>
      </c>
      <c r="G240" s="239">
        <v>0</v>
      </c>
      <c r="H240" s="239">
        <v>0</v>
      </c>
      <c r="I240" s="239">
        <v>0</v>
      </c>
      <c r="J240" s="239">
        <v>0</v>
      </c>
      <c r="K240" s="240">
        <f t="shared" si="24"/>
        <v>0</v>
      </c>
      <c r="L240" s="240">
        <f t="shared" si="25"/>
        <v>307375015</v>
      </c>
      <c r="M240" s="15"/>
      <c r="N240" s="10">
        <f t="shared" si="26"/>
        <v>307375015</v>
      </c>
      <c r="O240" s="11">
        <f t="shared" si="27"/>
        <v>1</v>
      </c>
      <c r="P240" s="381"/>
      <c r="Q240" s="30"/>
      <c r="R240" s="143"/>
    </row>
    <row r="241" spans="1:23" x14ac:dyDescent="0.25">
      <c r="A241" s="851" t="s">
        <v>101</v>
      </c>
      <c r="B241" s="852"/>
      <c r="C241" s="195">
        <f>SUM(C230:C240)</f>
        <v>518375015</v>
      </c>
      <c r="D241" s="195"/>
      <c r="E241" s="195"/>
      <c r="F241" s="195"/>
      <c r="G241" s="195"/>
      <c r="H241" s="195"/>
      <c r="I241" s="195"/>
      <c r="J241" s="195"/>
      <c r="K241" s="195">
        <f>SUM(K230:K240)</f>
        <v>0</v>
      </c>
      <c r="L241" s="195">
        <f>SUM(L230:L240)</f>
        <v>518375015</v>
      </c>
      <c r="M241" s="16">
        <f>SUM(M230:M240)</f>
        <v>0</v>
      </c>
      <c r="N241" s="17">
        <f>C241-M241</f>
        <v>518375015</v>
      </c>
      <c r="O241" s="18">
        <f>N241/C241</f>
        <v>1</v>
      </c>
      <c r="P241" s="19"/>
      <c r="Q241" s="20"/>
      <c r="R241" s="105"/>
      <c r="T241" s="50"/>
      <c r="U241" s="50"/>
      <c r="V241" s="50"/>
      <c r="W241" s="50"/>
    </row>
    <row r="242" spans="1:23" x14ac:dyDescent="0.25">
      <c r="A242" s="21" t="s">
        <v>1</v>
      </c>
      <c r="B242" s="809" t="s">
        <v>45</v>
      </c>
      <c r="C242" s="809"/>
      <c r="D242" s="809"/>
      <c r="E242" s="809"/>
      <c r="F242" s="809"/>
      <c r="G242" s="809"/>
      <c r="H242" s="809"/>
      <c r="I242" s="809"/>
      <c r="J242" s="809"/>
      <c r="K242" s="809"/>
      <c r="L242" s="809"/>
      <c r="M242" s="809"/>
      <c r="N242" s="809"/>
      <c r="O242" s="809"/>
      <c r="P242" s="809"/>
      <c r="Q242" s="809"/>
      <c r="R242" s="810"/>
      <c r="T242" s="50"/>
      <c r="U242" s="50"/>
      <c r="V242" s="50"/>
      <c r="W242" s="50"/>
    </row>
    <row r="243" spans="1:23" x14ac:dyDescent="0.25">
      <c r="A243" s="21" t="s">
        <v>3</v>
      </c>
      <c r="B243" s="809" t="s">
        <v>77</v>
      </c>
      <c r="C243" s="809"/>
      <c r="D243" s="809"/>
      <c r="E243" s="809"/>
      <c r="F243" s="809"/>
      <c r="G243" s="809"/>
      <c r="H243" s="809"/>
      <c r="I243" s="809"/>
      <c r="J243" s="809"/>
      <c r="K243" s="809"/>
      <c r="L243" s="809"/>
      <c r="M243" s="809"/>
      <c r="N243" s="809"/>
      <c r="O243" s="809"/>
      <c r="P243" s="809"/>
      <c r="Q243" s="809"/>
      <c r="R243" s="810"/>
      <c r="T243" s="50"/>
      <c r="U243" s="50"/>
      <c r="V243" s="50"/>
      <c r="W243" s="50"/>
    </row>
    <row r="244" spans="1:23" x14ac:dyDescent="0.25">
      <c r="A244" s="21" t="s">
        <v>5</v>
      </c>
      <c r="B244" s="799" t="s">
        <v>102</v>
      </c>
      <c r="C244" s="799"/>
      <c r="D244" s="799"/>
      <c r="E244" s="799"/>
      <c r="F244" s="799"/>
      <c r="G244" s="799"/>
      <c r="H244" s="799"/>
      <c r="I244" s="799"/>
      <c r="J244" s="799"/>
      <c r="K244" s="799"/>
      <c r="L244" s="799"/>
      <c r="M244" s="799"/>
      <c r="N244" s="799"/>
      <c r="O244" s="799"/>
      <c r="P244" s="799"/>
      <c r="Q244" s="799"/>
      <c r="R244" s="800"/>
      <c r="T244" s="50"/>
      <c r="U244" s="50"/>
      <c r="V244" s="50"/>
      <c r="W244" s="50"/>
    </row>
    <row r="245" spans="1:23" x14ac:dyDescent="0.25">
      <c r="A245" s="21" t="s">
        <v>6</v>
      </c>
      <c r="B245" s="799" t="s">
        <v>79</v>
      </c>
      <c r="C245" s="799"/>
      <c r="D245" s="799"/>
      <c r="E245" s="799"/>
      <c r="F245" s="799"/>
      <c r="G245" s="799"/>
      <c r="H245" s="799"/>
      <c r="I245" s="799"/>
      <c r="J245" s="799"/>
      <c r="K245" s="799"/>
      <c r="L245" s="799"/>
      <c r="M245" s="799"/>
      <c r="N245" s="799"/>
      <c r="O245" s="799"/>
      <c r="P245" s="799"/>
      <c r="Q245" s="799"/>
      <c r="R245" s="800"/>
      <c r="T245" s="50"/>
      <c r="U245" s="50"/>
      <c r="V245" s="50"/>
      <c r="W245" s="50"/>
    </row>
    <row r="246" spans="1:23" x14ac:dyDescent="0.25">
      <c r="A246" s="21" t="s">
        <v>8</v>
      </c>
      <c r="B246" s="799" t="s">
        <v>103</v>
      </c>
      <c r="C246" s="799"/>
      <c r="D246" s="799"/>
      <c r="E246" s="799"/>
      <c r="F246" s="799"/>
      <c r="G246" s="799"/>
      <c r="H246" s="799"/>
      <c r="I246" s="799"/>
      <c r="J246" s="799"/>
      <c r="K246" s="799"/>
      <c r="L246" s="799"/>
      <c r="M246" s="799"/>
      <c r="N246" s="799"/>
      <c r="O246" s="799"/>
      <c r="P246" s="799"/>
      <c r="Q246" s="799"/>
      <c r="R246" s="800"/>
      <c r="T246" s="50"/>
      <c r="U246" s="50"/>
      <c r="V246" s="50"/>
      <c r="W246" s="50"/>
    </row>
    <row r="247" spans="1:23" ht="12.75" customHeight="1" x14ac:dyDescent="0.25">
      <c r="A247" s="825" t="s">
        <v>10</v>
      </c>
      <c r="B247" s="793" t="s">
        <v>11</v>
      </c>
      <c r="C247" s="813" t="s">
        <v>12</v>
      </c>
      <c r="D247" s="815" t="s">
        <v>361</v>
      </c>
      <c r="E247" s="816"/>
      <c r="F247" s="816"/>
      <c r="G247" s="816"/>
      <c r="H247" s="816"/>
      <c r="I247" s="816"/>
      <c r="J247" s="816"/>
      <c r="K247" s="816"/>
      <c r="L247" s="817"/>
      <c r="M247" s="818" t="s">
        <v>13</v>
      </c>
      <c r="N247" s="811" t="s">
        <v>14</v>
      </c>
      <c r="O247" s="793" t="s">
        <v>15</v>
      </c>
      <c r="P247" s="795" t="s">
        <v>16</v>
      </c>
      <c r="Q247" s="793" t="s">
        <v>17</v>
      </c>
      <c r="R247" s="797" t="s">
        <v>18</v>
      </c>
      <c r="T247" s="50"/>
      <c r="U247" s="50"/>
      <c r="V247" s="50"/>
      <c r="W247" s="50"/>
    </row>
    <row r="248" spans="1:23" ht="27" customHeight="1" x14ac:dyDescent="0.25">
      <c r="A248" s="826"/>
      <c r="B248" s="794"/>
      <c r="C248" s="814"/>
      <c r="D248" s="193" t="s">
        <v>366</v>
      </c>
      <c r="E248" s="193" t="s">
        <v>362</v>
      </c>
      <c r="F248" s="193" t="s">
        <v>355</v>
      </c>
      <c r="G248" s="193" t="s">
        <v>357</v>
      </c>
      <c r="H248" s="193" t="s">
        <v>352</v>
      </c>
      <c r="I248" s="193" t="s">
        <v>354</v>
      </c>
      <c r="J248" s="193" t="s">
        <v>353</v>
      </c>
      <c r="K248" s="193" t="s">
        <v>356</v>
      </c>
      <c r="L248" s="193" t="s">
        <v>359</v>
      </c>
      <c r="M248" s="819"/>
      <c r="N248" s="812"/>
      <c r="O248" s="794"/>
      <c r="P248" s="796"/>
      <c r="Q248" s="794"/>
      <c r="R248" s="798"/>
      <c r="T248" s="50"/>
      <c r="U248" s="50"/>
      <c r="V248" s="50"/>
      <c r="W248" s="50"/>
    </row>
    <row r="249" spans="1:23" s="55" customFormat="1" ht="57.75" customHeight="1" x14ac:dyDescent="0.25">
      <c r="A249" s="158" t="s">
        <v>502</v>
      </c>
      <c r="B249" s="286">
        <v>1</v>
      </c>
      <c r="C249" s="242">
        <v>20000000</v>
      </c>
      <c r="D249" s="239">
        <v>0</v>
      </c>
      <c r="E249" s="239">
        <v>0</v>
      </c>
      <c r="F249" s="239">
        <v>0</v>
      </c>
      <c r="G249" s="239">
        <v>0</v>
      </c>
      <c r="H249" s="239">
        <v>0</v>
      </c>
      <c r="I249" s="239">
        <v>0</v>
      </c>
      <c r="J249" s="239">
        <v>0</v>
      </c>
      <c r="K249" s="240">
        <f>J249+I249+H249+G249+F249+E249+D249</f>
        <v>0</v>
      </c>
      <c r="L249" s="240">
        <f>C249-K249</f>
        <v>20000000</v>
      </c>
      <c r="M249" s="15"/>
      <c r="N249" s="10">
        <f>C249-M249</f>
        <v>20000000</v>
      </c>
      <c r="O249" s="11">
        <f>N249/C249</f>
        <v>1</v>
      </c>
      <c r="P249" s="381"/>
      <c r="Q249" s="30"/>
      <c r="R249" s="106"/>
    </row>
    <row r="250" spans="1:23" s="55" customFormat="1" ht="52.5" customHeight="1" x14ac:dyDescent="0.25">
      <c r="A250" s="160" t="s">
        <v>503</v>
      </c>
      <c r="B250" s="286">
        <v>1</v>
      </c>
      <c r="C250" s="242">
        <v>30000000</v>
      </c>
      <c r="D250" s="239">
        <v>0</v>
      </c>
      <c r="E250" s="239">
        <v>0</v>
      </c>
      <c r="F250" s="239">
        <v>0</v>
      </c>
      <c r="G250" s="239">
        <v>0</v>
      </c>
      <c r="H250" s="239">
        <v>0</v>
      </c>
      <c r="I250" s="239">
        <v>0</v>
      </c>
      <c r="J250" s="239">
        <v>0</v>
      </c>
      <c r="K250" s="240">
        <f>J250+I250+H250+G250+F250+E250+D250</f>
        <v>0</v>
      </c>
      <c r="L250" s="240">
        <f>C250-K250</f>
        <v>30000000</v>
      </c>
      <c r="M250" s="15"/>
      <c r="N250" s="10">
        <f>C250-M250</f>
        <v>30000000</v>
      </c>
      <c r="O250" s="11">
        <f>N250/C250</f>
        <v>1</v>
      </c>
      <c r="P250" s="381"/>
      <c r="Q250" s="30"/>
      <c r="R250" s="106"/>
    </row>
    <row r="251" spans="1:23" s="55" customFormat="1" ht="86.25" customHeight="1" x14ac:dyDescent="0.25">
      <c r="A251" s="145" t="s">
        <v>490</v>
      </c>
      <c r="B251" s="286">
        <v>5</v>
      </c>
      <c r="C251" s="242">
        <v>268911519</v>
      </c>
      <c r="D251" s="239">
        <v>0</v>
      </c>
      <c r="E251" s="239">
        <v>0</v>
      </c>
      <c r="F251" s="239">
        <v>0</v>
      </c>
      <c r="G251" s="239">
        <v>0</v>
      </c>
      <c r="H251" s="239">
        <v>0</v>
      </c>
      <c r="I251" s="239">
        <v>0</v>
      </c>
      <c r="J251" s="239">
        <v>0</v>
      </c>
      <c r="K251" s="240">
        <f>J251+I251+H251+G251+F251+E251+D251</f>
        <v>0</v>
      </c>
      <c r="L251" s="240">
        <f>C251-K251</f>
        <v>268911519</v>
      </c>
      <c r="M251" s="15"/>
      <c r="N251" s="10">
        <f>C251-M251</f>
        <v>268911519</v>
      </c>
      <c r="O251" s="11">
        <f>N251/C251</f>
        <v>1</v>
      </c>
      <c r="P251" s="381"/>
      <c r="Q251" s="30"/>
      <c r="R251" s="106"/>
    </row>
    <row r="252" spans="1:23" x14ac:dyDescent="0.25">
      <c r="A252" s="851" t="s">
        <v>104</v>
      </c>
      <c r="B252" s="852"/>
      <c r="C252" s="195">
        <f>SUM(C249:C251)</f>
        <v>318911519</v>
      </c>
      <c r="D252" s="195"/>
      <c r="E252" s="195"/>
      <c r="F252" s="195"/>
      <c r="G252" s="195"/>
      <c r="H252" s="195"/>
      <c r="I252" s="195"/>
      <c r="J252" s="195"/>
      <c r="K252" s="195">
        <f>SUM(K249:K251)</f>
        <v>0</v>
      </c>
      <c r="L252" s="195">
        <f>SUM(L249:L251)</f>
        <v>318911519</v>
      </c>
      <c r="M252" s="16">
        <f>SUM(M249:M251)</f>
        <v>0</v>
      </c>
      <c r="N252" s="17">
        <f>C252-M252</f>
        <v>318911519</v>
      </c>
      <c r="O252" s="18">
        <f>N252/C252</f>
        <v>1</v>
      </c>
      <c r="P252" s="19"/>
      <c r="Q252" s="20"/>
      <c r="R252" s="105"/>
      <c r="T252" s="50"/>
      <c r="U252" s="50"/>
      <c r="V252" s="50"/>
      <c r="W252" s="50"/>
    </row>
    <row r="253" spans="1:23" x14ac:dyDescent="0.25">
      <c r="A253" s="21" t="s">
        <v>1</v>
      </c>
      <c r="B253" s="809" t="s">
        <v>45</v>
      </c>
      <c r="C253" s="809"/>
      <c r="D253" s="809"/>
      <c r="E253" s="809"/>
      <c r="F253" s="809"/>
      <c r="G253" s="809"/>
      <c r="H253" s="809"/>
      <c r="I253" s="809"/>
      <c r="J253" s="809"/>
      <c r="K253" s="809"/>
      <c r="L253" s="809"/>
      <c r="M253" s="809"/>
      <c r="N253" s="809"/>
      <c r="O253" s="809"/>
      <c r="P253" s="809"/>
      <c r="Q253" s="809"/>
      <c r="R253" s="810"/>
      <c r="T253" s="50"/>
      <c r="U253" s="50"/>
      <c r="V253" s="50"/>
      <c r="W253" s="50"/>
    </row>
    <row r="254" spans="1:23" x14ac:dyDescent="0.25">
      <c r="A254" s="21" t="s">
        <v>3</v>
      </c>
      <c r="B254" s="809" t="s">
        <v>77</v>
      </c>
      <c r="C254" s="809"/>
      <c r="D254" s="809"/>
      <c r="E254" s="809"/>
      <c r="F254" s="809"/>
      <c r="G254" s="809"/>
      <c r="H254" s="809"/>
      <c r="I254" s="809"/>
      <c r="J254" s="809"/>
      <c r="K254" s="809"/>
      <c r="L254" s="809"/>
      <c r="M254" s="809"/>
      <c r="N254" s="809"/>
      <c r="O254" s="809"/>
      <c r="P254" s="809"/>
      <c r="Q254" s="809"/>
      <c r="R254" s="810"/>
      <c r="T254" s="50"/>
      <c r="U254" s="50"/>
      <c r="V254" s="50"/>
      <c r="W254" s="50"/>
    </row>
    <row r="255" spans="1:23" x14ac:dyDescent="0.25">
      <c r="A255" s="21" t="s">
        <v>5</v>
      </c>
      <c r="B255" s="799" t="s">
        <v>105</v>
      </c>
      <c r="C255" s="799"/>
      <c r="D255" s="799"/>
      <c r="E255" s="799"/>
      <c r="F255" s="799"/>
      <c r="G255" s="799"/>
      <c r="H255" s="799"/>
      <c r="I255" s="799"/>
      <c r="J255" s="799"/>
      <c r="K255" s="799"/>
      <c r="L255" s="799"/>
      <c r="M255" s="799"/>
      <c r="N255" s="799"/>
      <c r="O255" s="799"/>
      <c r="P255" s="799"/>
      <c r="Q255" s="799"/>
      <c r="R255" s="800"/>
      <c r="T255" s="50"/>
      <c r="U255" s="50"/>
      <c r="V255" s="50"/>
      <c r="W255" s="50"/>
    </row>
    <row r="256" spans="1:23" x14ac:dyDescent="0.25">
      <c r="A256" s="21" t="s">
        <v>6</v>
      </c>
      <c r="B256" s="799" t="s">
        <v>79</v>
      </c>
      <c r="C256" s="799"/>
      <c r="D256" s="799"/>
      <c r="E256" s="799"/>
      <c r="F256" s="799"/>
      <c r="G256" s="799"/>
      <c r="H256" s="799"/>
      <c r="I256" s="799"/>
      <c r="J256" s="799"/>
      <c r="K256" s="799"/>
      <c r="L256" s="799"/>
      <c r="M256" s="799"/>
      <c r="N256" s="799"/>
      <c r="O256" s="799"/>
      <c r="P256" s="799"/>
      <c r="Q256" s="799"/>
      <c r="R256" s="800"/>
      <c r="T256" s="50"/>
      <c r="U256" s="50"/>
      <c r="V256" s="50"/>
      <c r="W256" s="50"/>
    </row>
    <row r="257" spans="1:23" x14ac:dyDescent="0.25">
      <c r="A257" s="21" t="s">
        <v>8</v>
      </c>
      <c r="B257" s="799" t="s">
        <v>285</v>
      </c>
      <c r="C257" s="799"/>
      <c r="D257" s="799"/>
      <c r="E257" s="799"/>
      <c r="F257" s="799"/>
      <c r="G257" s="799"/>
      <c r="H257" s="799"/>
      <c r="I257" s="799"/>
      <c r="J257" s="799"/>
      <c r="K257" s="799"/>
      <c r="L257" s="799"/>
      <c r="M257" s="799"/>
      <c r="N257" s="799"/>
      <c r="O257" s="799"/>
      <c r="P257" s="799"/>
      <c r="Q257" s="799"/>
      <c r="R257" s="800"/>
      <c r="T257" s="50"/>
      <c r="U257" s="50"/>
      <c r="V257" s="50"/>
      <c r="W257" s="50"/>
    </row>
    <row r="258" spans="1:23" ht="12.75" customHeight="1" x14ac:dyDescent="0.25">
      <c r="A258" s="825" t="s">
        <v>10</v>
      </c>
      <c r="B258" s="793" t="s">
        <v>11</v>
      </c>
      <c r="C258" s="813" t="s">
        <v>12</v>
      </c>
      <c r="D258" s="815" t="s">
        <v>361</v>
      </c>
      <c r="E258" s="816"/>
      <c r="F258" s="816"/>
      <c r="G258" s="816"/>
      <c r="H258" s="816"/>
      <c r="I258" s="816"/>
      <c r="J258" s="816"/>
      <c r="K258" s="816"/>
      <c r="L258" s="817"/>
      <c r="M258" s="818" t="s">
        <v>13</v>
      </c>
      <c r="N258" s="811" t="s">
        <v>14</v>
      </c>
      <c r="O258" s="793" t="s">
        <v>15</v>
      </c>
      <c r="P258" s="795" t="s">
        <v>16</v>
      </c>
      <c r="Q258" s="793" t="s">
        <v>17</v>
      </c>
      <c r="R258" s="797" t="s">
        <v>18</v>
      </c>
      <c r="T258" s="50"/>
      <c r="U258" s="50"/>
      <c r="V258" s="50"/>
      <c r="W258" s="50"/>
    </row>
    <row r="259" spans="1:23" ht="27" customHeight="1" x14ac:dyDescent="0.25">
      <c r="A259" s="826"/>
      <c r="B259" s="794"/>
      <c r="C259" s="814"/>
      <c r="D259" s="193" t="s">
        <v>366</v>
      </c>
      <c r="E259" s="193" t="s">
        <v>362</v>
      </c>
      <c r="F259" s="193" t="s">
        <v>355</v>
      </c>
      <c r="G259" s="193" t="s">
        <v>357</v>
      </c>
      <c r="H259" s="193" t="s">
        <v>352</v>
      </c>
      <c r="I259" s="193" t="s">
        <v>354</v>
      </c>
      <c r="J259" s="193" t="s">
        <v>353</v>
      </c>
      <c r="K259" s="193" t="s">
        <v>356</v>
      </c>
      <c r="L259" s="193" t="s">
        <v>359</v>
      </c>
      <c r="M259" s="819"/>
      <c r="N259" s="812"/>
      <c r="O259" s="794"/>
      <c r="P259" s="796"/>
      <c r="Q259" s="794"/>
      <c r="R259" s="798"/>
      <c r="T259" s="50"/>
      <c r="U259" s="50"/>
      <c r="V259" s="50"/>
      <c r="W259" s="50"/>
    </row>
    <row r="260" spans="1:23" ht="77.25" customHeight="1" x14ac:dyDescent="0.25">
      <c r="A260" s="145" t="s">
        <v>490</v>
      </c>
      <c r="B260" s="286">
        <v>1</v>
      </c>
      <c r="C260" s="242">
        <v>65322016</v>
      </c>
      <c r="D260" s="239">
        <v>0</v>
      </c>
      <c r="E260" s="239">
        <v>0</v>
      </c>
      <c r="F260" s="239">
        <v>0</v>
      </c>
      <c r="G260" s="239">
        <v>0</v>
      </c>
      <c r="H260" s="239">
        <v>0</v>
      </c>
      <c r="I260" s="239">
        <v>0</v>
      </c>
      <c r="J260" s="239">
        <v>0</v>
      </c>
      <c r="K260" s="240">
        <f>J260+I260+H260+G260+F260+E260+D260</f>
        <v>0</v>
      </c>
      <c r="L260" s="240">
        <f>C260-K260</f>
        <v>65322016</v>
      </c>
      <c r="M260" s="15"/>
      <c r="N260" s="10">
        <f>C260-M260</f>
        <v>65322016</v>
      </c>
      <c r="O260" s="11">
        <f>N260/C260</f>
        <v>1</v>
      </c>
      <c r="P260" s="381"/>
      <c r="Q260" s="30"/>
      <c r="R260" s="106"/>
      <c r="T260" s="94"/>
      <c r="U260" s="50"/>
      <c r="V260" s="50"/>
      <c r="W260" s="50"/>
    </row>
    <row r="261" spans="1:23" ht="12.75" customHeight="1" x14ac:dyDescent="0.25">
      <c r="A261" s="879" t="s">
        <v>106</v>
      </c>
      <c r="B261" s="880"/>
      <c r="C261" s="195">
        <f>SUM(C260:C260)</f>
        <v>65322016</v>
      </c>
      <c r="D261" s="195"/>
      <c r="E261" s="195"/>
      <c r="F261" s="195"/>
      <c r="G261" s="195"/>
      <c r="H261" s="195"/>
      <c r="I261" s="195"/>
      <c r="J261" s="195"/>
      <c r="K261" s="195">
        <f>SUM(K260:K260)</f>
        <v>0</v>
      </c>
      <c r="L261" s="195">
        <f>SUM(L260:L260)</f>
        <v>65322016</v>
      </c>
      <c r="M261" s="16">
        <f>SUM(M260:M260)</f>
        <v>0</v>
      </c>
      <c r="N261" s="17">
        <f>C261-M261</f>
        <v>65322016</v>
      </c>
      <c r="O261" s="18">
        <f>N261/C261</f>
        <v>1</v>
      </c>
      <c r="P261" s="19"/>
      <c r="Q261" s="20"/>
      <c r="R261" s="105"/>
      <c r="T261" s="50"/>
      <c r="U261" s="50"/>
      <c r="V261" s="50"/>
      <c r="W261" s="50"/>
    </row>
    <row r="262" spans="1:23" ht="12.75" customHeight="1" x14ac:dyDescent="0.25">
      <c r="A262" s="21" t="s">
        <v>107</v>
      </c>
      <c r="B262" s="839" t="s">
        <v>108</v>
      </c>
      <c r="C262" s="840"/>
      <c r="D262" s="840"/>
      <c r="E262" s="840"/>
      <c r="F262" s="840"/>
      <c r="G262" s="840"/>
      <c r="H262" s="840"/>
      <c r="I262" s="840"/>
      <c r="J262" s="840"/>
      <c r="K262" s="840"/>
      <c r="L262" s="840"/>
      <c r="M262" s="840"/>
      <c r="N262" s="840"/>
      <c r="O262" s="840"/>
      <c r="P262" s="840"/>
      <c r="Q262" s="840"/>
      <c r="R262" s="841"/>
      <c r="T262" s="50"/>
      <c r="U262" s="50"/>
      <c r="V262" s="50"/>
      <c r="W262" s="50"/>
    </row>
    <row r="263" spans="1:23" ht="12.75" customHeight="1" x14ac:dyDescent="0.25">
      <c r="A263" s="21" t="s">
        <v>3</v>
      </c>
      <c r="B263" s="839" t="s">
        <v>109</v>
      </c>
      <c r="C263" s="840"/>
      <c r="D263" s="840"/>
      <c r="E263" s="840"/>
      <c r="F263" s="840"/>
      <c r="G263" s="840"/>
      <c r="H263" s="840"/>
      <c r="I263" s="840"/>
      <c r="J263" s="840"/>
      <c r="K263" s="840"/>
      <c r="L263" s="840"/>
      <c r="M263" s="840"/>
      <c r="N263" s="840"/>
      <c r="O263" s="840"/>
      <c r="P263" s="840"/>
      <c r="Q263" s="840"/>
      <c r="R263" s="841"/>
      <c r="T263" s="50"/>
      <c r="U263" s="50"/>
      <c r="V263" s="50"/>
      <c r="W263" s="50"/>
    </row>
    <row r="264" spans="1:23" x14ac:dyDescent="0.25">
      <c r="A264" s="21" t="s">
        <v>5</v>
      </c>
      <c r="B264" s="842" t="s">
        <v>110</v>
      </c>
      <c r="C264" s="843"/>
      <c r="D264" s="843"/>
      <c r="E264" s="843"/>
      <c r="F264" s="843"/>
      <c r="G264" s="843"/>
      <c r="H264" s="843"/>
      <c r="I264" s="843"/>
      <c r="J264" s="843"/>
      <c r="K264" s="843"/>
      <c r="L264" s="843"/>
      <c r="M264" s="843"/>
      <c r="N264" s="843"/>
      <c r="O264" s="843"/>
      <c r="P264" s="843"/>
      <c r="Q264" s="843"/>
      <c r="R264" s="844"/>
      <c r="T264" s="50"/>
      <c r="U264" s="50"/>
      <c r="V264" s="50"/>
      <c r="W264" s="50"/>
    </row>
    <row r="265" spans="1:23" x14ac:dyDescent="0.25">
      <c r="A265" s="21" t="s">
        <v>111</v>
      </c>
      <c r="B265" s="799" t="s">
        <v>112</v>
      </c>
      <c r="C265" s="799"/>
      <c r="D265" s="799"/>
      <c r="E265" s="799"/>
      <c r="F265" s="799"/>
      <c r="G265" s="799"/>
      <c r="H265" s="799"/>
      <c r="I265" s="799"/>
      <c r="J265" s="799"/>
      <c r="K265" s="799"/>
      <c r="L265" s="799"/>
      <c r="M265" s="799"/>
      <c r="N265" s="799"/>
      <c r="O265" s="799"/>
      <c r="P265" s="799"/>
      <c r="Q265" s="799"/>
      <c r="R265" s="800"/>
      <c r="T265" s="50"/>
      <c r="U265" s="50"/>
      <c r="V265" s="50"/>
      <c r="W265" s="50"/>
    </row>
    <row r="266" spans="1:23" x14ac:dyDescent="0.25">
      <c r="A266" s="21" t="s">
        <v>6</v>
      </c>
      <c r="B266" s="799" t="s">
        <v>79</v>
      </c>
      <c r="C266" s="799"/>
      <c r="D266" s="799"/>
      <c r="E266" s="799"/>
      <c r="F266" s="799"/>
      <c r="G266" s="799"/>
      <c r="H266" s="799"/>
      <c r="I266" s="799"/>
      <c r="J266" s="799"/>
      <c r="K266" s="799"/>
      <c r="L266" s="799"/>
      <c r="M266" s="799"/>
      <c r="N266" s="799"/>
      <c r="O266" s="799"/>
      <c r="P266" s="799"/>
      <c r="Q266" s="799"/>
      <c r="R266" s="800"/>
      <c r="T266" s="50"/>
      <c r="U266" s="50"/>
      <c r="V266" s="50"/>
      <c r="W266" s="50"/>
    </row>
    <row r="267" spans="1:23" x14ac:dyDescent="0.25">
      <c r="A267" s="21" t="s">
        <v>8</v>
      </c>
      <c r="B267" s="799" t="s">
        <v>113</v>
      </c>
      <c r="C267" s="799"/>
      <c r="D267" s="799"/>
      <c r="E267" s="799"/>
      <c r="F267" s="799"/>
      <c r="G267" s="799"/>
      <c r="H267" s="799"/>
      <c r="I267" s="799"/>
      <c r="J267" s="799"/>
      <c r="K267" s="799"/>
      <c r="L267" s="799"/>
      <c r="M267" s="799"/>
      <c r="N267" s="799"/>
      <c r="O267" s="799"/>
      <c r="P267" s="799"/>
      <c r="Q267" s="799"/>
      <c r="R267" s="800"/>
      <c r="T267" s="50"/>
      <c r="U267" s="50"/>
      <c r="V267" s="50"/>
      <c r="W267" s="50"/>
    </row>
    <row r="268" spans="1:23" ht="12.75" customHeight="1" x14ac:dyDescent="0.25">
      <c r="A268" s="825" t="s">
        <v>10</v>
      </c>
      <c r="B268" s="793" t="s">
        <v>11</v>
      </c>
      <c r="C268" s="813" t="s">
        <v>12</v>
      </c>
      <c r="D268" s="815" t="s">
        <v>361</v>
      </c>
      <c r="E268" s="816"/>
      <c r="F268" s="816"/>
      <c r="G268" s="816"/>
      <c r="H268" s="816"/>
      <c r="I268" s="816"/>
      <c r="J268" s="816"/>
      <c r="K268" s="816"/>
      <c r="L268" s="817"/>
      <c r="M268" s="818" t="s">
        <v>13</v>
      </c>
      <c r="N268" s="811" t="s">
        <v>14</v>
      </c>
      <c r="O268" s="793" t="s">
        <v>15</v>
      </c>
      <c r="P268" s="795" t="s">
        <v>16</v>
      </c>
      <c r="Q268" s="793" t="s">
        <v>17</v>
      </c>
      <c r="R268" s="797" t="s">
        <v>18</v>
      </c>
      <c r="T268" s="50"/>
      <c r="U268" s="50"/>
      <c r="V268" s="50"/>
      <c r="W268" s="50"/>
    </row>
    <row r="269" spans="1:23" ht="27" customHeight="1" x14ac:dyDescent="0.25">
      <c r="A269" s="826"/>
      <c r="B269" s="794"/>
      <c r="C269" s="814"/>
      <c r="D269" s="193" t="s">
        <v>366</v>
      </c>
      <c r="E269" s="193" t="s">
        <v>362</v>
      </c>
      <c r="F269" s="193" t="s">
        <v>355</v>
      </c>
      <c r="G269" s="193" t="s">
        <v>357</v>
      </c>
      <c r="H269" s="193" t="s">
        <v>352</v>
      </c>
      <c r="I269" s="193" t="s">
        <v>354</v>
      </c>
      <c r="J269" s="193" t="s">
        <v>353</v>
      </c>
      <c r="K269" s="193" t="s">
        <v>356</v>
      </c>
      <c r="L269" s="193" t="s">
        <v>359</v>
      </c>
      <c r="M269" s="819"/>
      <c r="N269" s="812"/>
      <c r="O269" s="794"/>
      <c r="P269" s="796"/>
      <c r="Q269" s="794"/>
      <c r="R269" s="798"/>
      <c r="T269" s="50"/>
      <c r="U269" s="50"/>
      <c r="V269" s="50"/>
      <c r="W269" s="50"/>
    </row>
    <row r="270" spans="1:23" ht="42" customHeight="1" x14ac:dyDescent="0.25">
      <c r="A270" s="162" t="s">
        <v>504</v>
      </c>
      <c r="B270" s="468">
        <v>2</v>
      </c>
      <c r="C270" s="199">
        <v>2000000</v>
      </c>
      <c r="D270" s="239">
        <v>0</v>
      </c>
      <c r="E270" s="239">
        <v>0</v>
      </c>
      <c r="F270" s="239">
        <v>0</v>
      </c>
      <c r="G270" s="239">
        <v>0</v>
      </c>
      <c r="H270" s="239">
        <v>0</v>
      </c>
      <c r="I270" s="239">
        <v>0</v>
      </c>
      <c r="J270" s="239">
        <v>0</v>
      </c>
      <c r="K270" s="240">
        <f t="shared" ref="K270:K277" si="28">J270+I270+H270+G270+F270+E270+D270</f>
        <v>0</v>
      </c>
      <c r="L270" s="240">
        <f t="shared" ref="L270:L277" si="29">C270-K270</f>
        <v>2000000</v>
      </c>
      <c r="M270" s="15"/>
      <c r="N270" s="10">
        <f t="shared" ref="N270:N277" si="30">C270-M270</f>
        <v>2000000</v>
      </c>
      <c r="O270" s="11">
        <f t="shared" ref="O270:O277" si="31">N270/C270</f>
        <v>1</v>
      </c>
      <c r="P270" s="290"/>
      <c r="Q270" s="13"/>
      <c r="R270" s="104"/>
      <c r="T270" s="50"/>
      <c r="U270" s="50"/>
      <c r="V270" s="50"/>
      <c r="W270" s="50"/>
    </row>
    <row r="271" spans="1:23" ht="42" customHeight="1" x14ac:dyDescent="0.25">
      <c r="A271" s="162" t="s">
        <v>505</v>
      </c>
      <c r="B271" s="468">
        <v>1</v>
      </c>
      <c r="C271" s="199">
        <v>5000000</v>
      </c>
      <c r="D271" s="239">
        <v>0</v>
      </c>
      <c r="E271" s="239">
        <v>0</v>
      </c>
      <c r="F271" s="239">
        <v>0</v>
      </c>
      <c r="G271" s="239">
        <v>0</v>
      </c>
      <c r="H271" s="239">
        <v>0</v>
      </c>
      <c r="I271" s="239">
        <v>0</v>
      </c>
      <c r="J271" s="239">
        <v>0</v>
      </c>
      <c r="K271" s="240">
        <f>J271+I271+H271+G271+F271+E271+D271</f>
        <v>0</v>
      </c>
      <c r="L271" s="240">
        <f>C271-K271</f>
        <v>5000000</v>
      </c>
      <c r="M271" s="15"/>
      <c r="N271" s="10">
        <f>C271-M271</f>
        <v>5000000</v>
      </c>
      <c r="O271" s="11">
        <f>N271/C271</f>
        <v>1</v>
      </c>
      <c r="P271" s="290"/>
      <c r="Q271" s="13"/>
      <c r="R271" s="104"/>
      <c r="T271" s="50"/>
      <c r="U271" s="50"/>
      <c r="V271" s="50"/>
      <c r="W271" s="50"/>
    </row>
    <row r="272" spans="1:23" ht="42" customHeight="1" x14ac:dyDescent="0.25">
      <c r="A272" s="7" t="s">
        <v>506</v>
      </c>
      <c r="B272" s="126">
        <v>2</v>
      </c>
      <c r="C272" s="434">
        <v>20000000</v>
      </c>
      <c r="D272" s="239">
        <v>0</v>
      </c>
      <c r="E272" s="239">
        <v>0</v>
      </c>
      <c r="F272" s="239">
        <v>0</v>
      </c>
      <c r="G272" s="239">
        <v>0</v>
      </c>
      <c r="H272" s="239">
        <v>0</v>
      </c>
      <c r="I272" s="239">
        <v>0</v>
      </c>
      <c r="J272" s="239">
        <v>0</v>
      </c>
      <c r="K272" s="240">
        <f>J272+I272+H272+G272+F272+E272+D272</f>
        <v>0</v>
      </c>
      <c r="L272" s="240">
        <f>C272-K272</f>
        <v>20000000</v>
      </c>
      <c r="M272" s="15"/>
      <c r="N272" s="10">
        <f>C272-M272</f>
        <v>20000000</v>
      </c>
      <c r="O272" s="11">
        <f>N272/C272</f>
        <v>1</v>
      </c>
      <c r="P272" s="290"/>
      <c r="Q272" s="13"/>
      <c r="R272" s="104"/>
      <c r="T272" s="50"/>
      <c r="U272" s="50"/>
      <c r="V272" s="50"/>
      <c r="W272" s="50"/>
    </row>
    <row r="273" spans="1:23" ht="42" customHeight="1" x14ac:dyDescent="0.25">
      <c r="A273" s="42" t="s">
        <v>507</v>
      </c>
      <c r="B273" s="433">
        <v>2</v>
      </c>
      <c r="C273" s="199">
        <v>10000000</v>
      </c>
      <c r="D273" s="239">
        <v>0</v>
      </c>
      <c r="E273" s="239">
        <v>0</v>
      </c>
      <c r="F273" s="239">
        <v>0</v>
      </c>
      <c r="G273" s="239">
        <v>0</v>
      </c>
      <c r="H273" s="239">
        <v>0</v>
      </c>
      <c r="I273" s="239">
        <v>0</v>
      </c>
      <c r="J273" s="239">
        <v>0</v>
      </c>
      <c r="K273" s="240">
        <f>J273+I273+H273+G273+F273+E273+D273</f>
        <v>0</v>
      </c>
      <c r="L273" s="240">
        <f>C273-K273</f>
        <v>10000000</v>
      </c>
      <c r="M273" s="15"/>
      <c r="N273" s="10">
        <f>C273-M273</f>
        <v>10000000</v>
      </c>
      <c r="O273" s="11">
        <f>N273/C273</f>
        <v>1</v>
      </c>
      <c r="P273" s="290"/>
      <c r="Q273" s="13"/>
      <c r="R273" s="104"/>
      <c r="T273" s="50"/>
      <c r="U273" s="50"/>
      <c r="V273" s="50"/>
      <c r="W273" s="50"/>
    </row>
    <row r="274" spans="1:23" ht="60" customHeight="1" x14ac:dyDescent="0.25">
      <c r="A274" s="428" t="s">
        <v>508</v>
      </c>
      <c r="B274" s="8">
        <v>1</v>
      </c>
      <c r="C274" s="436">
        <v>50000000</v>
      </c>
      <c r="D274" s="239">
        <v>0</v>
      </c>
      <c r="E274" s="239">
        <v>0</v>
      </c>
      <c r="F274" s="239">
        <v>0</v>
      </c>
      <c r="G274" s="239">
        <v>0</v>
      </c>
      <c r="H274" s="239">
        <v>0</v>
      </c>
      <c r="I274" s="239">
        <v>0</v>
      </c>
      <c r="J274" s="239">
        <v>0</v>
      </c>
      <c r="K274" s="240">
        <f t="shared" si="28"/>
        <v>0</v>
      </c>
      <c r="L274" s="240">
        <f t="shared" si="29"/>
        <v>50000000</v>
      </c>
      <c r="M274" s="15"/>
      <c r="N274" s="10">
        <f t="shared" si="30"/>
        <v>50000000</v>
      </c>
      <c r="O274" s="11">
        <f t="shared" si="31"/>
        <v>1</v>
      </c>
      <c r="P274" s="290"/>
      <c r="Q274" s="13"/>
      <c r="R274" s="104"/>
      <c r="T274" s="50"/>
      <c r="U274" s="50"/>
      <c r="V274" s="50"/>
      <c r="W274" s="50"/>
    </row>
    <row r="275" spans="1:23" ht="30.75" customHeight="1" x14ac:dyDescent="0.25">
      <c r="A275" s="435" t="s">
        <v>509</v>
      </c>
      <c r="B275" s="8">
        <v>2</v>
      </c>
      <c r="C275" s="437">
        <v>5000000</v>
      </c>
      <c r="D275" s="239">
        <v>0</v>
      </c>
      <c r="E275" s="239">
        <v>0</v>
      </c>
      <c r="F275" s="239">
        <v>0</v>
      </c>
      <c r="G275" s="239">
        <v>0</v>
      </c>
      <c r="H275" s="239">
        <v>0</v>
      </c>
      <c r="I275" s="239">
        <v>0</v>
      </c>
      <c r="J275" s="239">
        <v>0</v>
      </c>
      <c r="K275" s="240">
        <f t="shared" si="28"/>
        <v>0</v>
      </c>
      <c r="L275" s="240">
        <f t="shared" si="29"/>
        <v>5000000</v>
      </c>
      <c r="M275" s="15"/>
      <c r="N275" s="10">
        <f t="shared" si="30"/>
        <v>5000000</v>
      </c>
      <c r="O275" s="11">
        <f t="shared" si="31"/>
        <v>1</v>
      </c>
      <c r="P275" s="290"/>
      <c r="Q275" s="13"/>
      <c r="R275" s="104"/>
      <c r="T275" s="50"/>
      <c r="U275" s="50"/>
      <c r="V275" s="50"/>
      <c r="W275" s="50"/>
    </row>
    <row r="276" spans="1:23" ht="82.5" customHeight="1" x14ac:dyDescent="0.25">
      <c r="A276" s="30" t="s">
        <v>510</v>
      </c>
      <c r="B276" s="8">
        <v>1</v>
      </c>
      <c r="C276" s="242">
        <v>12000000</v>
      </c>
      <c r="D276" s="239">
        <v>0</v>
      </c>
      <c r="E276" s="239">
        <v>0</v>
      </c>
      <c r="F276" s="239">
        <v>0</v>
      </c>
      <c r="G276" s="239">
        <v>0</v>
      </c>
      <c r="H276" s="239">
        <v>0</v>
      </c>
      <c r="I276" s="239">
        <v>0</v>
      </c>
      <c r="J276" s="239">
        <v>0</v>
      </c>
      <c r="K276" s="240">
        <f t="shared" si="28"/>
        <v>0</v>
      </c>
      <c r="L276" s="240">
        <f t="shared" si="29"/>
        <v>12000000</v>
      </c>
      <c r="M276" s="15"/>
      <c r="N276" s="10">
        <f t="shared" si="30"/>
        <v>12000000</v>
      </c>
      <c r="O276" s="11">
        <f t="shared" si="31"/>
        <v>1</v>
      </c>
      <c r="P276" s="290"/>
      <c r="Q276" s="13"/>
      <c r="R276" s="104"/>
      <c r="T276" s="50"/>
      <c r="U276" s="50"/>
      <c r="V276" s="50"/>
      <c r="W276" s="50"/>
    </row>
    <row r="277" spans="1:23" ht="117" customHeight="1" x14ac:dyDescent="0.25">
      <c r="A277" s="438" t="s">
        <v>490</v>
      </c>
      <c r="B277" s="8">
        <v>4</v>
      </c>
      <c r="C277" s="242">
        <v>210699564</v>
      </c>
      <c r="D277" s="239">
        <v>0</v>
      </c>
      <c r="E277" s="239">
        <v>0</v>
      </c>
      <c r="F277" s="239">
        <v>0</v>
      </c>
      <c r="G277" s="239">
        <v>0</v>
      </c>
      <c r="H277" s="239">
        <v>0</v>
      </c>
      <c r="I277" s="239">
        <v>0</v>
      </c>
      <c r="J277" s="239">
        <v>0</v>
      </c>
      <c r="K277" s="240">
        <f t="shared" si="28"/>
        <v>0</v>
      </c>
      <c r="L277" s="240">
        <f t="shared" si="29"/>
        <v>210699564</v>
      </c>
      <c r="M277" s="15"/>
      <c r="N277" s="10">
        <f t="shared" si="30"/>
        <v>210699564</v>
      </c>
      <c r="O277" s="11">
        <f t="shared" si="31"/>
        <v>1</v>
      </c>
      <c r="P277" s="290"/>
      <c r="Q277" s="13"/>
      <c r="R277" s="104"/>
      <c r="T277" s="50"/>
      <c r="U277" s="50"/>
      <c r="V277" s="50"/>
      <c r="W277" s="50"/>
    </row>
    <row r="278" spans="1:23" x14ac:dyDescent="0.25">
      <c r="A278" s="879" t="s">
        <v>401</v>
      </c>
      <c r="B278" s="880"/>
      <c r="C278" s="195">
        <f>SUM(C270:C277)</f>
        <v>314699564</v>
      </c>
      <c r="D278" s="195"/>
      <c r="E278" s="195"/>
      <c r="F278" s="195"/>
      <c r="G278" s="195"/>
      <c r="H278" s="195"/>
      <c r="I278" s="195"/>
      <c r="J278" s="195"/>
      <c r="K278" s="195">
        <f>SUM(K270:K277)</f>
        <v>0</v>
      </c>
      <c r="L278" s="195">
        <f>SUM(L270:L277)</f>
        <v>314699564</v>
      </c>
      <c r="M278" s="195">
        <f>SUM(M270:M277)</f>
        <v>0</v>
      </c>
      <c r="N278" s="195">
        <f>SUM(N270:N277)</f>
        <v>314699564</v>
      </c>
      <c r="O278" s="18">
        <f>N278/C278</f>
        <v>1</v>
      </c>
      <c r="P278" s="19"/>
      <c r="Q278" s="20"/>
      <c r="R278" s="105"/>
      <c r="T278" s="50"/>
      <c r="U278" s="50"/>
      <c r="V278" s="50"/>
      <c r="W278" s="50"/>
    </row>
    <row r="279" spans="1:23" ht="12.75" customHeight="1" x14ac:dyDescent="0.25">
      <c r="A279" s="21" t="s">
        <v>107</v>
      </c>
      <c r="B279" s="809" t="s">
        <v>45</v>
      </c>
      <c r="C279" s="809"/>
      <c r="D279" s="809"/>
      <c r="E279" s="809"/>
      <c r="F279" s="809"/>
      <c r="G279" s="809"/>
      <c r="H279" s="809"/>
      <c r="I279" s="809"/>
      <c r="J279" s="809"/>
      <c r="K279" s="809"/>
      <c r="L279" s="809"/>
      <c r="M279" s="809"/>
      <c r="N279" s="809"/>
      <c r="O279" s="809"/>
      <c r="P279" s="809"/>
      <c r="Q279" s="809"/>
      <c r="R279" s="810"/>
      <c r="T279" s="50"/>
      <c r="U279" s="50"/>
      <c r="V279" s="50"/>
      <c r="W279" s="50"/>
    </row>
    <row r="280" spans="1:23" ht="12.75" customHeight="1" x14ac:dyDescent="0.25">
      <c r="A280" s="21" t="s">
        <v>3</v>
      </c>
      <c r="B280" s="809" t="s">
        <v>77</v>
      </c>
      <c r="C280" s="809"/>
      <c r="D280" s="809"/>
      <c r="E280" s="809"/>
      <c r="F280" s="809"/>
      <c r="G280" s="809"/>
      <c r="H280" s="809"/>
      <c r="I280" s="809"/>
      <c r="J280" s="809"/>
      <c r="K280" s="809"/>
      <c r="L280" s="809"/>
      <c r="M280" s="809"/>
      <c r="N280" s="809"/>
      <c r="O280" s="809"/>
      <c r="P280" s="809"/>
      <c r="Q280" s="809"/>
      <c r="R280" s="810"/>
      <c r="T280" s="50"/>
      <c r="U280" s="50"/>
      <c r="V280" s="50"/>
      <c r="W280" s="50"/>
    </row>
    <row r="281" spans="1:23" x14ac:dyDescent="0.25">
      <c r="A281" s="21" t="s">
        <v>5</v>
      </c>
      <c r="B281" s="799" t="s">
        <v>326</v>
      </c>
      <c r="C281" s="799"/>
      <c r="D281" s="799"/>
      <c r="E281" s="799"/>
      <c r="F281" s="799"/>
      <c r="G281" s="799"/>
      <c r="H281" s="799"/>
      <c r="I281" s="799"/>
      <c r="J281" s="799"/>
      <c r="K281" s="799"/>
      <c r="L281" s="799"/>
      <c r="M281" s="799"/>
      <c r="N281" s="799"/>
      <c r="O281" s="799"/>
      <c r="P281" s="799"/>
      <c r="Q281" s="799"/>
      <c r="R281" s="800"/>
      <c r="T281" s="50"/>
      <c r="U281" s="50"/>
      <c r="V281" s="50"/>
      <c r="W281" s="50"/>
    </row>
    <row r="282" spans="1:23" x14ac:dyDescent="0.25">
      <c r="A282" s="21" t="s">
        <v>111</v>
      </c>
      <c r="B282" s="799" t="s">
        <v>79</v>
      </c>
      <c r="C282" s="799"/>
      <c r="D282" s="799"/>
      <c r="E282" s="799"/>
      <c r="F282" s="799"/>
      <c r="G282" s="799"/>
      <c r="H282" s="799"/>
      <c r="I282" s="799"/>
      <c r="J282" s="799"/>
      <c r="K282" s="799"/>
      <c r="L282" s="799"/>
      <c r="M282" s="799"/>
      <c r="N282" s="799"/>
      <c r="O282" s="799"/>
      <c r="P282" s="799"/>
      <c r="Q282" s="799"/>
      <c r="R282" s="800"/>
      <c r="T282" s="50"/>
      <c r="U282" s="50"/>
      <c r="V282" s="50"/>
      <c r="W282" s="50"/>
    </row>
    <row r="283" spans="1:23" x14ac:dyDescent="0.25">
      <c r="A283" s="21" t="s">
        <v>6</v>
      </c>
      <c r="B283" s="799" t="s">
        <v>326</v>
      </c>
      <c r="C283" s="799"/>
      <c r="D283" s="799"/>
      <c r="E283" s="799"/>
      <c r="F283" s="799"/>
      <c r="G283" s="799"/>
      <c r="H283" s="799"/>
      <c r="I283" s="799"/>
      <c r="J283" s="799"/>
      <c r="K283" s="799"/>
      <c r="L283" s="799"/>
      <c r="M283" s="799"/>
      <c r="N283" s="799"/>
      <c r="O283" s="799"/>
      <c r="P283" s="799"/>
      <c r="Q283" s="799"/>
      <c r="R283" s="800"/>
      <c r="T283" s="50"/>
      <c r="U283" s="50"/>
      <c r="V283" s="50"/>
      <c r="W283" s="50"/>
    </row>
    <row r="284" spans="1:23" x14ac:dyDescent="0.25">
      <c r="A284" s="825" t="s">
        <v>10</v>
      </c>
      <c r="B284" s="793" t="s">
        <v>11</v>
      </c>
      <c r="C284" s="813" t="s">
        <v>12</v>
      </c>
      <c r="D284" s="815" t="s">
        <v>361</v>
      </c>
      <c r="E284" s="816"/>
      <c r="F284" s="816"/>
      <c r="G284" s="816"/>
      <c r="H284" s="816"/>
      <c r="I284" s="816"/>
      <c r="J284" s="816"/>
      <c r="K284" s="816"/>
      <c r="L284" s="817"/>
      <c r="M284" s="818" t="s">
        <v>13</v>
      </c>
      <c r="N284" s="811" t="s">
        <v>14</v>
      </c>
      <c r="O284" s="793" t="s">
        <v>15</v>
      </c>
      <c r="P284" s="795" t="s">
        <v>16</v>
      </c>
      <c r="Q284" s="793" t="s">
        <v>17</v>
      </c>
      <c r="R284" s="797" t="s">
        <v>18</v>
      </c>
      <c r="T284" s="50"/>
      <c r="U284" s="50"/>
      <c r="V284" s="50"/>
      <c r="W284" s="50"/>
    </row>
    <row r="285" spans="1:23" ht="25.5" x14ac:dyDescent="0.25">
      <c r="A285" s="826"/>
      <c r="B285" s="794"/>
      <c r="C285" s="814"/>
      <c r="D285" s="193" t="s">
        <v>366</v>
      </c>
      <c r="E285" s="193" t="s">
        <v>362</v>
      </c>
      <c r="F285" s="193" t="s">
        <v>355</v>
      </c>
      <c r="G285" s="193" t="s">
        <v>357</v>
      </c>
      <c r="H285" s="193" t="s">
        <v>352</v>
      </c>
      <c r="I285" s="193" t="s">
        <v>354</v>
      </c>
      <c r="J285" s="193" t="s">
        <v>353</v>
      </c>
      <c r="K285" s="193" t="s">
        <v>356</v>
      </c>
      <c r="L285" s="193" t="s">
        <v>359</v>
      </c>
      <c r="M285" s="819"/>
      <c r="N285" s="812"/>
      <c r="O285" s="794"/>
      <c r="P285" s="796"/>
      <c r="Q285" s="794"/>
      <c r="R285" s="798"/>
      <c r="T285" s="50"/>
      <c r="U285" s="50"/>
      <c r="V285" s="50"/>
      <c r="W285" s="50"/>
    </row>
    <row r="286" spans="1:23" ht="25.5" x14ac:dyDescent="0.25">
      <c r="A286" s="14" t="s">
        <v>557</v>
      </c>
      <c r="B286" s="8">
        <v>6</v>
      </c>
      <c r="C286" s="446">
        <v>2000000</v>
      </c>
      <c r="D286" s="239">
        <v>0</v>
      </c>
      <c r="E286" s="239">
        <v>0</v>
      </c>
      <c r="F286" s="239">
        <v>0</v>
      </c>
      <c r="G286" s="239">
        <v>0</v>
      </c>
      <c r="H286" s="239">
        <v>0</v>
      </c>
      <c r="I286" s="239">
        <v>0</v>
      </c>
      <c r="J286" s="239">
        <v>0</v>
      </c>
      <c r="K286" s="240">
        <f t="shared" ref="K286:K291" si="32">J286+I286+H286+G286+F286+E286+D286</f>
        <v>0</v>
      </c>
      <c r="L286" s="240">
        <f t="shared" ref="L286:L291" si="33">C286-K286</f>
        <v>2000000</v>
      </c>
      <c r="M286" s="15"/>
      <c r="N286" s="10">
        <f t="shared" ref="N286:N291" si="34">C286-M286</f>
        <v>2000000</v>
      </c>
      <c r="O286" s="11">
        <f t="shared" ref="O286:O293" si="35">N286/C286</f>
        <v>1</v>
      </c>
      <c r="P286" s="290"/>
      <c r="Q286" s="13"/>
      <c r="R286" s="104"/>
      <c r="T286" s="50"/>
      <c r="U286" s="50"/>
      <c r="V286" s="50"/>
      <c r="W286" s="50"/>
    </row>
    <row r="287" spans="1:23" ht="25.5" x14ac:dyDescent="0.25">
      <c r="A287" s="14" t="s">
        <v>558</v>
      </c>
      <c r="B287" s="8">
        <v>6</v>
      </c>
      <c r="C287" s="446">
        <v>3000000</v>
      </c>
      <c r="D287" s="239">
        <v>0</v>
      </c>
      <c r="E287" s="239">
        <v>0</v>
      </c>
      <c r="F287" s="239">
        <v>0</v>
      </c>
      <c r="G287" s="239">
        <v>0</v>
      </c>
      <c r="H287" s="239">
        <v>0</v>
      </c>
      <c r="I287" s="239">
        <v>0</v>
      </c>
      <c r="J287" s="239">
        <v>0</v>
      </c>
      <c r="K287" s="240">
        <f t="shared" si="32"/>
        <v>0</v>
      </c>
      <c r="L287" s="240">
        <f t="shared" si="33"/>
        <v>3000000</v>
      </c>
      <c r="M287" s="15"/>
      <c r="N287" s="10">
        <f t="shared" si="34"/>
        <v>3000000</v>
      </c>
      <c r="O287" s="11">
        <f t="shared" si="35"/>
        <v>1</v>
      </c>
      <c r="P287" s="290"/>
      <c r="Q287" s="13"/>
      <c r="R287" s="104"/>
      <c r="T287" s="50"/>
      <c r="U287" s="50"/>
      <c r="V287" s="50"/>
      <c r="W287" s="50"/>
    </row>
    <row r="288" spans="1:23" ht="25.5" x14ac:dyDescent="0.25">
      <c r="A288" s="14" t="s">
        <v>559</v>
      </c>
      <c r="B288" s="8">
        <v>6</v>
      </c>
      <c r="C288" s="446">
        <v>4000000</v>
      </c>
      <c r="D288" s="239">
        <v>0</v>
      </c>
      <c r="E288" s="239">
        <v>0</v>
      </c>
      <c r="F288" s="239">
        <v>0</v>
      </c>
      <c r="G288" s="239">
        <v>0</v>
      </c>
      <c r="H288" s="239">
        <v>0</v>
      </c>
      <c r="I288" s="239">
        <v>0</v>
      </c>
      <c r="J288" s="239">
        <v>0</v>
      </c>
      <c r="K288" s="240">
        <f t="shared" si="32"/>
        <v>0</v>
      </c>
      <c r="L288" s="240">
        <f t="shared" si="33"/>
        <v>4000000</v>
      </c>
      <c r="M288" s="15"/>
      <c r="N288" s="10">
        <f t="shared" si="34"/>
        <v>4000000</v>
      </c>
      <c r="O288" s="11">
        <f t="shared" si="35"/>
        <v>1</v>
      </c>
      <c r="P288" s="290"/>
      <c r="Q288" s="13"/>
      <c r="R288" s="104"/>
      <c r="T288" s="50"/>
      <c r="U288" s="50"/>
      <c r="V288" s="50"/>
      <c r="W288" s="50"/>
    </row>
    <row r="289" spans="1:23" x14ac:dyDescent="0.25">
      <c r="A289" s="14" t="s">
        <v>560</v>
      </c>
      <c r="B289" s="8">
        <v>1</v>
      </c>
      <c r="C289" s="446">
        <v>4000000</v>
      </c>
      <c r="D289" s="239">
        <v>0</v>
      </c>
      <c r="E289" s="239">
        <v>0</v>
      </c>
      <c r="F289" s="239">
        <v>0</v>
      </c>
      <c r="G289" s="239">
        <v>0</v>
      </c>
      <c r="H289" s="239">
        <v>0</v>
      </c>
      <c r="I289" s="239">
        <v>0</v>
      </c>
      <c r="J289" s="239">
        <v>0</v>
      </c>
      <c r="K289" s="240">
        <f t="shared" si="32"/>
        <v>0</v>
      </c>
      <c r="L289" s="240">
        <f t="shared" si="33"/>
        <v>4000000</v>
      </c>
      <c r="M289" s="15"/>
      <c r="N289" s="10">
        <f t="shared" si="34"/>
        <v>4000000</v>
      </c>
      <c r="O289" s="11">
        <f t="shared" si="35"/>
        <v>1</v>
      </c>
      <c r="P289" s="290"/>
      <c r="Q289" s="13"/>
      <c r="R289" s="104"/>
      <c r="T289" s="50"/>
      <c r="U289" s="50"/>
      <c r="V289" s="50"/>
      <c r="W289" s="50"/>
    </row>
    <row r="290" spans="1:23" ht="38.25" x14ac:dyDescent="0.25">
      <c r="A290" s="14" t="s">
        <v>561</v>
      </c>
      <c r="B290" s="8">
        <v>1</v>
      </c>
      <c r="C290" s="446">
        <v>4000000</v>
      </c>
      <c r="D290" s="239">
        <v>0</v>
      </c>
      <c r="E290" s="239">
        <v>0</v>
      </c>
      <c r="F290" s="239">
        <v>0</v>
      </c>
      <c r="G290" s="239">
        <v>0</v>
      </c>
      <c r="H290" s="239">
        <v>0</v>
      </c>
      <c r="I290" s="239">
        <v>0</v>
      </c>
      <c r="J290" s="239">
        <v>0</v>
      </c>
      <c r="K290" s="240">
        <f t="shared" si="32"/>
        <v>0</v>
      </c>
      <c r="L290" s="240">
        <f t="shared" si="33"/>
        <v>4000000</v>
      </c>
      <c r="M290" s="15"/>
      <c r="N290" s="10">
        <f t="shared" si="34"/>
        <v>4000000</v>
      </c>
      <c r="O290" s="11">
        <f t="shared" si="35"/>
        <v>1</v>
      </c>
      <c r="P290" s="290"/>
      <c r="Q290" s="13"/>
      <c r="R290" s="104"/>
      <c r="T290" s="50"/>
      <c r="U290" s="50"/>
      <c r="V290" s="50"/>
      <c r="W290" s="50"/>
    </row>
    <row r="291" spans="1:23" x14ac:dyDescent="0.25">
      <c r="A291" s="445" t="s">
        <v>562</v>
      </c>
      <c r="B291" s="8">
        <v>3</v>
      </c>
      <c r="C291" s="242">
        <v>163548678</v>
      </c>
      <c r="D291" s="239">
        <v>0</v>
      </c>
      <c r="E291" s="239">
        <v>0</v>
      </c>
      <c r="F291" s="239">
        <v>0</v>
      </c>
      <c r="G291" s="239">
        <v>0</v>
      </c>
      <c r="H291" s="239">
        <v>0</v>
      </c>
      <c r="I291" s="239">
        <v>0</v>
      </c>
      <c r="J291" s="239">
        <v>0</v>
      </c>
      <c r="K291" s="240">
        <f t="shared" si="32"/>
        <v>0</v>
      </c>
      <c r="L291" s="240">
        <f t="shared" si="33"/>
        <v>163548678</v>
      </c>
      <c r="M291" s="15"/>
      <c r="N291" s="10">
        <f t="shared" si="34"/>
        <v>163548678</v>
      </c>
      <c r="O291" s="11">
        <f t="shared" si="35"/>
        <v>1</v>
      </c>
      <c r="P291" s="290"/>
      <c r="Q291" s="13"/>
      <c r="R291" s="104"/>
      <c r="T291" s="50"/>
      <c r="U291" s="50"/>
      <c r="V291" s="50"/>
      <c r="W291" s="50"/>
    </row>
    <row r="292" spans="1:23" x14ac:dyDescent="0.25">
      <c r="A292" s="879" t="s">
        <v>606</v>
      </c>
      <c r="B292" s="880"/>
      <c r="C292" s="195">
        <f>SUM(C284:C291)</f>
        <v>180548678</v>
      </c>
      <c r="D292" s="195"/>
      <c r="E292" s="195"/>
      <c r="F292" s="195"/>
      <c r="G292" s="195"/>
      <c r="H292" s="195"/>
      <c r="I292" s="195"/>
      <c r="J292" s="195"/>
      <c r="K292" s="195">
        <f>SUM(K284:K291)</f>
        <v>0</v>
      </c>
      <c r="L292" s="195">
        <f>SUM(L284:L291)</f>
        <v>180548678</v>
      </c>
      <c r="M292" s="195">
        <f>SUM(M284:M291)</f>
        <v>0</v>
      </c>
      <c r="N292" s="195">
        <f>SUM(N284:N291)</f>
        <v>180548678</v>
      </c>
      <c r="O292" s="18">
        <f t="shared" si="35"/>
        <v>1</v>
      </c>
      <c r="P292" s="19"/>
      <c r="Q292" s="20"/>
      <c r="R292" s="105"/>
      <c r="T292" s="50"/>
      <c r="U292" s="50"/>
      <c r="V292" s="50"/>
      <c r="W292" s="50"/>
    </row>
    <row r="293" spans="1:23" x14ac:dyDescent="0.25">
      <c r="A293" s="879" t="s">
        <v>350</v>
      </c>
      <c r="B293" s="880"/>
      <c r="C293" s="195">
        <f>C278+C261+C252+C241+C222+C292</f>
        <v>1803456099</v>
      </c>
      <c r="D293" s="195"/>
      <c r="E293" s="195"/>
      <c r="F293" s="195"/>
      <c r="G293" s="195"/>
      <c r="H293" s="195"/>
      <c r="I293" s="195"/>
      <c r="J293" s="195"/>
      <c r="K293" s="195">
        <f>K278+K261+K252+K241+K222</f>
        <v>0</v>
      </c>
      <c r="L293" s="195">
        <f>L278+L261+L252+L241+L222</f>
        <v>1622907421</v>
      </c>
      <c r="M293" s="195">
        <f>M278+M261+M252+M241+M222</f>
        <v>0</v>
      </c>
      <c r="N293" s="195">
        <f>N278+N261+N252+N241+N222</f>
        <v>1622907421</v>
      </c>
      <c r="O293" s="18">
        <f t="shared" si="35"/>
        <v>0.89988740058595684</v>
      </c>
      <c r="P293" s="19"/>
      <c r="Q293" s="20"/>
      <c r="R293" s="105"/>
      <c r="T293" s="50"/>
      <c r="U293" s="50"/>
      <c r="V293" s="50"/>
      <c r="W293" s="50"/>
    </row>
    <row r="294" spans="1:23" x14ac:dyDescent="0.25">
      <c r="A294" s="845" t="s">
        <v>115</v>
      </c>
      <c r="B294" s="846"/>
      <c r="C294" s="846"/>
      <c r="D294" s="846"/>
      <c r="E294" s="846"/>
      <c r="F294" s="846"/>
      <c r="G294" s="846"/>
      <c r="H294" s="846"/>
      <c r="I294" s="846"/>
      <c r="J294" s="846"/>
      <c r="K294" s="846"/>
      <c r="L294" s="846"/>
      <c r="M294" s="846"/>
      <c r="N294" s="846"/>
      <c r="O294" s="846"/>
      <c r="P294" s="846"/>
      <c r="Q294" s="846"/>
      <c r="R294" s="847"/>
      <c r="T294" s="50"/>
      <c r="U294" s="50"/>
      <c r="V294" s="50"/>
      <c r="W294" s="50"/>
    </row>
    <row r="295" spans="1:23" x14ac:dyDescent="0.25">
      <c r="A295" s="21" t="s">
        <v>25</v>
      </c>
      <c r="B295" s="809" t="s">
        <v>43</v>
      </c>
      <c r="C295" s="809"/>
      <c r="D295" s="809"/>
      <c r="E295" s="809"/>
      <c r="F295" s="809"/>
      <c r="G295" s="809"/>
      <c r="H295" s="809"/>
      <c r="I295" s="809"/>
      <c r="J295" s="809"/>
      <c r="K295" s="809"/>
      <c r="L295" s="809"/>
      <c r="M295" s="809"/>
      <c r="N295" s="809"/>
      <c r="O295" s="809"/>
      <c r="P295" s="809"/>
      <c r="Q295" s="809"/>
      <c r="R295" s="810"/>
      <c r="T295" s="50"/>
      <c r="U295" s="50"/>
      <c r="V295" s="50"/>
      <c r="W295" s="50"/>
    </row>
    <row r="296" spans="1:23" x14ac:dyDescent="0.25">
      <c r="A296" s="21" t="s">
        <v>3</v>
      </c>
      <c r="B296" s="809" t="s">
        <v>116</v>
      </c>
      <c r="C296" s="809"/>
      <c r="D296" s="809"/>
      <c r="E296" s="809"/>
      <c r="F296" s="809"/>
      <c r="G296" s="809"/>
      <c r="H296" s="809"/>
      <c r="I296" s="809"/>
      <c r="J296" s="809"/>
      <c r="K296" s="809"/>
      <c r="L296" s="809"/>
      <c r="M296" s="809"/>
      <c r="N296" s="809"/>
      <c r="O296" s="809"/>
      <c r="P296" s="809"/>
      <c r="Q296" s="809"/>
      <c r="R296" s="810"/>
      <c r="T296" s="50"/>
      <c r="U296" s="50"/>
      <c r="V296" s="50"/>
      <c r="W296" s="50"/>
    </row>
    <row r="297" spans="1:23" x14ac:dyDescent="0.25">
      <c r="A297" s="21" t="s">
        <v>5</v>
      </c>
      <c r="B297" s="799" t="s">
        <v>119</v>
      </c>
      <c r="C297" s="799"/>
      <c r="D297" s="799"/>
      <c r="E297" s="799"/>
      <c r="F297" s="799"/>
      <c r="G297" s="799"/>
      <c r="H297" s="799"/>
      <c r="I297" s="799"/>
      <c r="J297" s="799"/>
      <c r="K297" s="799"/>
      <c r="L297" s="799"/>
      <c r="M297" s="799"/>
      <c r="N297" s="799"/>
      <c r="O297" s="799"/>
      <c r="P297" s="799"/>
      <c r="Q297" s="799"/>
      <c r="R297" s="800"/>
      <c r="T297" s="50"/>
      <c r="U297" s="50"/>
      <c r="V297" s="50"/>
      <c r="W297" s="50"/>
    </row>
    <row r="298" spans="1:23" x14ac:dyDescent="0.25">
      <c r="A298" s="21" t="s">
        <v>6</v>
      </c>
      <c r="B298" s="799" t="s">
        <v>117</v>
      </c>
      <c r="C298" s="799"/>
      <c r="D298" s="799"/>
      <c r="E298" s="799"/>
      <c r="F298" s="799"/>
      <c r="G298" s="799"/>
      <c r="H298" s="799"/>
      <c r="I298" s="799"/>
      <c r="J298" s="799"/>
      <c r="K298" s="799"/>
      <c r="L298" s="799"/>
      <c r="M298" s="799"/>
      <c r="N298" s="799"/>
      <c r="O298" s="799"/>
      <c r="P298" s="799"/>
      <c r="Q298" s="799"/>
      <c r="R298" s="800"/>
      <c r="T298" s="50"/>
      <c r="U298" s="50"/>
      <c r="V298" s="50"/>
      <c r="W298" s="50"/>
    </row>
    <row r="299" spans="1:23" x14ac:dyDescent="0.25">
      <c r="A299" s="21" t="s">
        <v>8</v>
      </c>
      <c r="B299" s="799" t="s">
        <v>118</v>
      </c>
      <c r="C299" s="799"/>
      <c r="D299" s="799"/>
      <c r="E299" s="799"/>
      <c r="F299" s="799"/>
      <c r="G299" s="799"/>
      <c r="H299" s="799"/>
      <c r="I299" s="799"/>
      <c r="J299" s="799"/>
      <c r="K299" s="799"/>
      <c r="L299" s="799"/>
      <c r="M299" s="799"/>
      <c r="N299" s="799"/>
      <c r="O299" s="799"/>
      <c r="P299" s="799"/>
      <c r="Q299" s="799"/>
      <c r="R299" s="800"/>
      <c r="T299" s="50"/>
      <c r="U299" s="50"/>
      <c r="V299" s="50"/>
      <c r="W299" s="50"/>
    </row>
    <row r="300" spans="1:23" ht="12.75" customHeight="1" x14ac:dyDescent="0.25">
      <c r="A300" s="825" t="s">
        <v>10</v>
      </c>
      <c r="B300" s="793" t="s">
        <v>11</v>
      </c>
      <c r="C300" s="813" t="s">
        <v>12</v>
      </c>
      <c r="D300" s="815" t="s">
        <v>361</v>
      </c>
      <c r="E300" s="816"/>
      <c r="F300" s="816"/>
      <c r="G300" s="816"/>
      <c r="H300" s="816"/>
      <c r="I300" s="816"/>
      <c r="J300" s="816"/>
      <c r="K300" s="816"/>
      <c r="L300" s="817"/>
      <c r="M300" s="818" t="s">
        <v>13</v>
      </c>
      <c r="N300" s="811" t="s">
        <v>14</v>
      </c>
      <c r="O300" s="793" t="s">
        <v>15</v>
      </c>
      <c r="P300" s="795" t="s">
        <v>16</v>
      </c>
      <c r="Q300" s="793" t="s">
        <v>17</v>
      </c>
      <c r="R300" s="797" t="s">
        <v>18</v>
      </c>
      <c r="T300" s="50"/>
      <c r="U300" s="50"/>
      <c r="V300" s="50"/>
      <c r="W300" s="50"/>
    </row>
    <row r="301" spans="1:23" ht="24.75" customHeight="1" x14ac:dyDescent="0.25">
      <c r="A301" s="826"/>
      <c r="B301" s="794"/>
      <c r="C301" s="814"/>
      <c r="D301" s="193" t="s">
        <v>366</v>
      </c>
      <c r="E301" s="193" t="s">
        <v>362</v>
      </c>
      <c r="F301" s="193" t="s">
        <v>355</v>
      </c>
      <c r="G301" s="193" t="s">
        <v>357</v>
      </c>
      <c r="H301" s="193" t="s">
        <v>352</v>
      </c>
      <c r="I301" s="193" t="s">
        <v>354</v>
      </c>
      <c r="J301" s="193" t="s">
        <v>353</v>
      </c>
      <c r="K301" s="193" t="s">
        <v>356</v>
      </c>
      <c r="L301" s="193" t="s">
        <v>359</v>
      </c>
      <c r="M301" s="819"/>
      <c r="N301" s="812"/>
      <c r="O301" s="794"/>
      <c r="P301" s="796"/>
      <c r="Q301" s="794"/>
      <c r="R301" s="798"/>
      <c r="T301" s="50"/>
      <c r="U301" s="50"/>
      <c r="V301" s="50"/>
      <c r="W301" s="50"/>
    </row>
    <row r="302" spans="1:23" x14ac:dyDescent="0.25">
      <c r="A302" s="165" t="s">
        <v>511</v>
      </c>
      <c r="B302" s="286">
        <v>1</v>
      </c>
      <c r="C302" s="242">
        <v>6000000</v>
      </c>
      <c r="D302" s="239">
        <v>0</v>
      </c>
      <c r="E302" s="239">
        <v>0</v>
      </c>
      <c r="F302" s="239">
        <v>0</v>
      </c>
      <c r="G302" s="239">
        <v>0</v>
      </c>
      <c r="H302" s="239">
        <v>0</v>
      </c>
      <c r="I302" s="239">
        <v>0</v>
      </c>
      <c r="J302" s="239">
        <v>0</v>
      </c>
      <c r="K302" s="240">
        <f>J302+I302+H302+G302+F302+E302+D302</f>
        <v>0</v>
      </c>
      <c r="L302" s="240">
        <f>C302-K302</f>
        <v>6000000</v>
      </c>
      <c r="M302" s="15"/>
      <c r="N302" s="10">
        <f>C302-M302</f>
        <v>6000000</v>
      </c>
      <c r="O302" s="11">
        <f>N302/C302</f>
        <v>1</v>
      </c>
      <c r="P302" s="37"/>
      <c r="Q302" s="38"/>
      <c r="R302" s="109"/>
      <c r="T302" s="50"/>
      <c r="U302" s="50"/>
      <c r="V302" s="50"/>
      <c r="W302" s="50"/>
    </row>
    <row r="303" spans="1:23" x14ac:dyDescent="0.25">
      <c r="A303" s="166" t="s">
        <v>120</v>
      </c>
      <c r="B303" s="286">
        <v>1</v>
      </c>
      <c r="C303" s="242">
        <v>6000000</v>
      </c>
      <c r="D303" s="239">
        <v>0</v>
      </c>
      <c r="E303" s="239">
        <v>0</v>
      </c>
      <c r="F303" s="239">
        <v>0</v>
      </c>
      <c r="G303" s="239">
        <v>0</v>
      </c>
      <c r="H303" s="239">
        <v>0</v>
      </c>
      <c r="I303" s="239">
        <v>0</v>
      </c>
      <c r="J303" s="239">
        <v>0</v>
      </c>
      <c r="K303" s="240">
        <f>J303+I303+H303+G303+F303+E303+D303</f>
        <v>0</v>
      </c>
      <c r="L303" s="240">
        <f>C303-K303</f>
        <v>6000000</v>
      </c>
      <c r="M303" s="15"/>
      <c r="N303" s="10">
        <f>C303-M303</f>
        <v>6000000</v>
      </c>
      <c r="O303" s="11">
        <f>N303/C303</f>
        <v>1</v>
      </c>
      <c r="P303" s="37"/>
      <c r="Q303" s="38"/>
      <c r="R303" s="109"/>
      <c r="T303" s="50"/>
      <c r="U303" s="50"/>
      <c r="V303" s="50"/>
      <c r="W303" s="50"/>
    </row>
    <row r="304" spans="1:23" x14ac:dyDescent="0.25">
      <c r="A304" s="439" t="s">
        <v>512</v>
      </c>
      <c r="B304" s="286">
        <v>2</v>
      </c>
      <c r="C304" s="242">
        <v>12000000</v>
      </c>
      <c r="D304" s="239">
        <v>0</v>
      </c>
      <c r="E304" s="239">
        <v>0</v>
      </c>
      <c r="F304" s="239">
        <v>0</v>
      </c>
      <c r="G304" s="239">
        <v>0</v>
      </c>
      <c r="H304" s="239">
        <v>0</v>
      </c>
      <c r="I304" s="239">
        <v>0</v>
      </c>
      <c r="J304" s="239">
        <v>0</v>
      </c>
      <c r="K304" s="240">
        <f>J304+I304+H304+G304+F304+E304+D304</f>
        <v>0</v>
      </c>
      <c r="L304" s="240">
        <f>C304-K304</f>
        <v>12000000</v>
      </c>
      <c r="M304" s="15"/>
      <c r="N304" s="10">
        <f>C304-M304</f>
        <v>12000000</v>
      </c>
      <c r="O304" s="11">
        <f>N304/C304</f>
        <v>1</v>
      </c>
      <c r="P304" s="37"/>
      <c r="Q304" s="38"/>
      <c r="R304" s="109"/>
      <c r="T304" s="50"/>
      <c r="U304" s="50"/>
      <c r="V304" s="50"/>
      <c r="W304" s="50"/>
    </row>
    <row r="305" spans="1:46" ht="24" customHeight="1" x14ac:dyDescent="0.25">
      <c r="A305" s="438" t="s">
        <v>490</v>
      </c>
      <c r="B305" s="286">
        <v>1</v>
      </c>
      <c r="C305" s="242">
        <v>58185833</v>
      </c>
      <c r="D305" s="239">
        <v>0</v>
      </c>
      <c r="E305" s="239">
        <v>0</v>
      </c>
      <c r="F305" s="239">
        <v>0</v>
      </c>
      <c r="G305" s="239">
        <v>0</v>
      </c>
      <c r="H305" s="239">
        <v>0</v>
      </c>
      <c r="I305" s="239">
        <v>0</v>
      </c>
      <c r="J305" s="239">
        <v>0</v>
      </c>
      <c r="K305" s="240">
        <f>J305+I305+H305+G305+F305+E305+D305</f>
        <v>0</v>
      </c>
      <c r="L305" s="240">
        <f>C305-K305</f>
        <v>58185833</v>
      </c>
      <c r="M305" s="15"/>
      <c r="N305" s="10">
        <f>C305-M305</f>
        <v>58185833</v>
      </c>
      <c r="O305" s="11">
        <f>N305/C305</f>
        <v>1</v>
      </c>
      <c r="P305" s="24"/>
      <c r="Q305" s="30"/>
      <c r="R305" s="106"/>
      <c r="T305" s="50"/>
      <c r="U305" s="50"/>
      <c r="V305" s="50"/>
      <c r="W305" s="50"/>
    </row>
    <row r="306" spans="1:46" x14ac:dyDescent="0.25">
      <c r="A306" s="881" t="s">
        <v>121</v>
      </c>
      <c r="B306" s="882"/>
      <c r="C306" s="213">
        <f>SUM(C295:C305)</f>
        <v>82185833</v>
      </c>
      <c r="D306" s="213"/>
      <c r="E306" s="213"/>
      <c r="F306" s="213"/>
      <c r="G306" s="213"/>
      <c r="H306" s="213"/>
      <c r="I306" s="213"/>
      <c r="J306" s="213"/>
      <c r="K306" s="213">
        <f>SUM(K295:K305)</f>
        <v>0</v>
      </c>
      <c r="L306" s="213">
        <f>SUM(L295:L305)</f>
        <v>82185833</v>
      </c>
      <c r="M306" s="43">
        <f>SUM(M295:M305)</f>
        <v>0</v>
      </c>
      <c r="N306" s="44">
        <f>SUM(N295:N305)</f>
        <v>82185833</v>
      </c>
      <c r="O306" s="45">
        <f>N306/C306</f>
        <v>1</v>
      </c>
      <c r="P306" s="46"/>
      <c r="Q306" s="47"/>
      <c r="R306" s="107"/>
      <c r="T306" s="50"/>
      <c r="U306" s="50"/>
      <c r="V306" s="50"/>
      <c r="W306" s="50"/>
    </row>
    <row r="307" spans="1:46" ht="12.75" customHeight="1" x14ac:dyDescent="0.25">
      <c r="A307" s="886" t="s">
        <v>202</v>
      </c>
      <c r="B307" s="887"/>
      <c r="C307" s="887"/>
      <c r="D307" s="887"/>
      <c r="E307" s="887"/>
      <c r="F307" s="887"/>
      <c r="G307" s="887"/>
      <c r="H307" s="887"/>
      <c r="I307" s="887"/>
      <c r="J307" s="887"/>
      <c r="K307" s="887"/>
      <c r="L307" s="887"/>
      <c r="M307" s="887"/>
      <c r="N307" s="887"/>
      <c r="O307" s="887"/>
      <c r="P307" s="887"/>
      <c r="Q307" s="887"/>
      <c r="R307" s="888"/>
      <c r="T307" s="50"/>
      <c r="U307" s="50"/>
      <c r="V307" s="50"/>
      <c r="W307" s="50"/>
    </row>
    <row r="308" spans="1:46" s="342" customFormat="1" ht="12.75" customHeight="1" x14ac:dyDescent="0.25">
      <c r="A308" s="341" t="s">
        <v>25</v>
      </c>
      <c r="B308" s="889" t="s">
        <v>43</v>
      </c>
      <c r="C308" s="890"/>
      <c r="D308" s="890"/>
      <c r="E308" s="890"/>
      <c r="F308" s="890"/>
      <c r="G308" s="890"/>
      <c r="H308" s="890"/>
      <c r="I308" s="890"/>
      <c r="J308" s="890"/>
      <c r="K308" s="890"/>
      <c r="L308" s="890"/>
      <c r="M308" s="890"/>
      <c r="N308" s="890"/>
      <c r="O308" s="890"/>
      <c r="P308" s="890"/>
      <c r="Q308" s="890"/>
      <c r="R308" s="891"/>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row>
    <row r="309" spans="1:46" s="342" customFormat="1" ht="12.75" customHeight="1" x14ac:dyDescent="0.25">
      <c r="A309" s="341" t="s">
        <v>3</v>
      </c>
      <c r="B309" s="892" t="s">
        <v>74</v>
      </c>
      <c r="C309" s="893"/>
      <c r="D309" s="893"/>
      <c r="E309" s="893"/>
      <c r="F309" s="893"/>
      <c r="G309" s="893"/>
      <c r="H309" s="893"/>
      <c r="I309" s="893"/>
      <c r="J309" s="893"/>
      <c r="K309" s="893"/>
      <c r="L309" s="893"/>
      <c r="M309" s="893"/>
      <c r="N309" s="893"/>
      <c r="O309" s="893"/>
      <c r="P309" s="893"/>
      <c r="Q309" s="893"/>
      <c r="R309" s="894"/>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row>
    <row r="310" spans="1:46" s="342" customFormat="1" ht="12.75" customHeight="1" x14ac:dyDescent="0.25">
      <c r="A310" s="341" t="s">
        <v>5</v>
      </c>
      <c r="B310" s="889" t="s">
        <v>204</v>
      </c>
      <c r="C310" s="890"/>
      <c r="D310" s="890"/>
      <c r="E310" s="890"/>
      <c r="F310" s="890"/>
      <c r="G310" s="890"/>
      <c r="H310" s="890"/>
      <c r="I310" s="890"/>
      <c r="J310" s="890"/>
      <c r="K310" s="890"/>
      <c r="L310" s="890"/>
      <c r="M310" s="890"/>
      <c r="N310" s="890"/>
      <c r="O310" s="890"/>
      <c r="P310" s="890"/>
      <c r="Q310" s="890"/>
      <c r="R310" s="891"/>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t="s">
        <v>205</v>
      </c>
      <c r="AP310" s="100"/>
      <c r="AQ310" s="100"/>
      <c r="AR310" s="100" t="s">
        <v>75</v>
      </c>
      <c r="AS310" s="100"/>
      <c r="AT310" s="100"/>
    </row>
    <row r="311" spans="1:46" s="342" customFormat="1" x14ac:dyDescent="0.25">
      <c r="A311" s="341" t="s">
        <v>6</v>
      </c>
      <c r="B311" s="848" t="s">
        <v>206</v>
      </c>
      <c r="C311" s="849"/>
      <c r="D311" s="849"/>
      <c r="E311" s="849"/>
      <c r="F311" s="849"/>
      <c r="G311" s="849"/>
      <c r="H311" s="849"/>
      <c r="I311" s="849"/>
      <c r="J311" s="849"/>
      <c r="K311" s="849"/>
      <c r="L311" s="849"/>
      <c r="M311" s="849"/>
      <c r="N311" s="849"/>
      <c r="O311" s="849"/>
      <c r="P311" s="849"/>
      <c r="Q311" s="849"/>
      <c r="R311" s="850"/>
      <c r="S311" s="343"/>
      <c r="T311" s="343"/>
      <c r="U311" s="343"/>
      <c r="V311" s="343"/>
      <c r="W311" s="343"/>
      <c r="X311" s="343"/>
      <c r="Y311" s="343"/>
      <c r="Z311" s="343"/>
      <c r="AA311" s="343"/>
      <c r="AB311" s="343"/>
      <c r="AC311" s="343"/>
      <c r="AD311" s="343"/>
      <c r="AE311" s="343"/>
      <c r="AF311" s="343"/>
      <c r="AG311" s="343"/>
      <c r="AH311" s="343"/>
      <c r="AI311" s="343"/>
      <c r="AJ311" s="343"/>
      <c r="AK311" s="343"/>
      <c r="AL311" s="343"/>
      <c r="AM311" s="343"/>
      <c r="AN311" s="343"/>
      <c r="AO311" s="343"/>
      <c r="AP311" s="343"/>
      <c r="AQ311" s="343"/>
      <c r="AR311" s="343"/>
      <c r="AS311" s="343"/>
      <c r="AT311" s="343"/>
    </row>
    <row r="312" spans="1:46" s="342" customFormat="1" x14ac:dyDescent="0.25">
      <c r="A312" s="341" t="s">
        <v>8</v>
      </c>
      <c r="B312" s="848" t="s">
        <v>207</v>
      </c>
      <c r="C312" s="849"/>
      <c r="D312" s="849"/>
      <c r="E312" s="849"/>
      <c r="F312" s="849"/>
      <c r="G312" s="849"/>
      <c r="H312" s="849"/>
      <c r="I312" s="849"/>
      <c r="J312" s="849"/>
      <c r="K312" s="849"/>
      <c r="L312" s="849"/>
      <c r="M312" s="849"/>
      <c r="N312" s="849"/>
      <c r="O312" s="849"/>
      <c r="P312" s="849"/>
      <c r="Q312" s="849"/>
      <c r="R312" s="850"/>
      <c r="S312" s="343"/>
      <c r="T312" s="343"/>
      <c r="U312" s="343"/>
      <c r="V312" s="343"/>
      <c r="W312" s="343"/>
      <c r="X312" s="343"/>
      <c r="Y312" s="343"/>
      <c r="Z312" s="343"/>
      <c r="AA312" s="343"/>
      <c r="AB312" s="343"/>
      <c r="AC312" s="343"/>
      <c r="AD312" s="343"/>
      <c r="AE312" s="343"/>
      <c r="AF312" s="343"/>
      <c r="AG312" s="343"/>
      <c r="AH312" s="343"/>
      <c r="AI312" s="343"/>
      <c r="AJ312" s="343"/>
      <c r="AK312" s="343"/>
      <c r="AL312" s="343"/>
      <c r="AM312" s="343"/>
      <c r="AN312" s="343"/>
      <c r="AO312" s="343"/>
      <c r="AP312" s="343"/>
      <c r="AQ312" s="343"/>
      <c r="AR312" s="343"/>
      <c r="AS312" s="343"/>
      <c r="AT312" s="343"/>
    </row>
    <row r="313" spans="1:46" s="342" customFormat="1" ht="12.75" customHeight="1" x14ac:dyDescent="0.25">
      <c r="A313" s="825" t="s">
        <v>10</v>
      </c>
      <c r="B313" s="793" t="s">
        <v>11</v>
      </c>
      <c r="C313" s="813" t="s">
        <v>12</v>
      </c>
      <c r="D313" s="815" t="s">
        <v>361</v>
      </c>
      <c r="E313" s="816"/>
      <c r="F313" s="816"/>
      <c r="G313" s="816"/>
      <c r="H313" s="816"/>
      <c r="I313" s="816"/>
      <c r="J313" s="816"/>
      <c r="K313" s="816"/>
      <c r="L313" s="817"/>
      <c r="M313" s="818" t="s">
        <v>13</v>
      </c>
      <c r="N313" s="811" t="s">
        <v>14</v>
      </c>
      <c r="O313" s="793" t="s">
        <v>15</v>
      </c>
      <c r="P313" s="795" t="s">
        <v>16</v>
      </c>
      <c r="Q313" s="793" t="s">
        <v>17</v>
      </c>
      <c r="R313" s="797" t="s">
        <v>18</v>
      </c>
      <c r="S313" s="343"/>
      <c r="T313" s="343"/>
      <c r="U313" s="343"/>
      <c r="V313" s="343"/>
      <c r="W313" s="343"/>
      <c r="X313" s="343"/>
      <c r="Y313" s="343"/>
      <c r="Z313" s="343"/>
      <c r="AA313" s="343"/>
      <c r="AB313" s="343"/>
      <c r="AC313" s="343"/>
      <c r="AD313" s="343"/>
      <c r="AE313" s="343"/>
      <c r="AF313" s="343"/>
      <c r="AG313" s="343"/>
      <c r="AH313" s="343"/>
      <c r="AI313" s="343"/>
      <c r="AJ313" s="343"/>
      <c r="AK313" s="343"/>
      <c r="AL313" s="343"/>
      <c r="AM313" s="343"/>
      <c r="AN313" s="343"/>
      <c r="AO313" s="343"/>
      <c r="AP313" s="343"/>
      <c r="AQ313" s="343"/>
      <c r="AR313" s="343"/>
      <c r="AS313" s="343"/>
      <c r="AT313" s="343"/>
    </row>
    <row r="314" spans="1:46" ht="27.75" customHeight="1" x14ac:dyDescent="0.25">
      <c r="A314" s="826"/>
      <c r="B314" s="794"/>
      <c r="C314" s="814"/>
      <c r="D314" s="193" t="s">
        <v>366</v>
      </c>
      <c r="E314" s="193" t="s">
        <v>362</v>
      </c>
      <c r="F314" s="193" t="s">
        <v>355</v>
      </c>
      <c r="G314" s="193" t="s">
        <v>357</v>
      </c>
      <c r="H314" s="193" t="s">
        <v>352</v>
      </c>
      <c r="I314" s="193" t="s">
        <v>354</v>
      </c>
      <c r="J314" s="193" t="s">
        <v>353</v>
      </c>
      <c r="K314" s="193" t="s">
        <v>356</v>
      </c>
      <c r="L314" s="193" t="s">
        <v>359</v>
      </c>
      <c r="M314" s="819"/>
      <c r="N314" s="812"/>
      <c r="O314" s="794"/>
      <c r="P314" s="796"/>
      <c r="Q314" s="794"/>
      <c r="R314" s="798"/>
      <c r="T314" s="50"/>
      <c r="U314" s="50"/>
      <c r="V314" s="50"/>
      <c r="W314" s="50"/>
    </row>
    <row r="315" spans="1:46" ht="14.25" x14ac:dyDescent="0.25">
      <c r="A315" s="438" t="s">
        <v>490</v>
      </c>
      <c r="B315" s="467">
        <v>5</v>
      </c>
      <c r="C315" s="242">
        <v>259853276</v>
      </c>
      <c r="D315" s="239">
        <v>0</v>
      </c>
      <c r="E315" s="239">
        <v>0</v>
      </c>
      <c r="F315" s="239">
        <v>0</v>
      </c>
      <c r="G315" s="239">
        <v>0</v>
      </c>
      <c r="H315" s="239">
        <v>0</v>
      </c>
      <c r="I315" s="239">
        <v>0</v>
      </c>
      <c r="J315" s="239">
        <v>0</v>
      </c>
      <c r="K315" s="240">
        <f>J315+I315+H315+G315+F315+E315+D315</f>
        <v>0</v>
      </c>
      <c r="L315" s="240">
        <f>C315-K315</f>
        <v>259853276</v>
      </c>
      <c r="M315" s="15"/>
      <c r="N315" s="10">
        <f>C315-M315</f>
        <v>259853276</v>
      </c>
      <c r="O315" s="11">
        <f>N315/C315</f>
        <v>1</v>
      </c>
      <c r="P315" s="384"/>
      <c r="Q315" s="30"/>
      <c r="R315" s="106"/>
      <c r="T315" s="50"/>
      <c r="U315" s="50"/>
      <c r="V315" s="50"/>
      <c r="W315" s="50"/>
    </row>
    <row r="316" spans="1:46" ht="12.75" customHeight="1" x14ac:dyDescent="0.25">
      <c r="A316" s="881" t="s">
        <v>203</v>
      </c>
      <c r="B316" s="882"/>
      <c r="C316" s="213">
        <f>SUM(C314:C315)</f>
        <v>259853276</v>
      </c>
      <c r="D316" s="213"/>
      <c r="E316" s="213"/>
      <c r="F316" s="213"/>
      <c r="G316" s="213"/>
      <c r="H316" s="213"/>
      <c r="I316" s="213"/>
      <c r="J316" s="213"/>
      <c r="K316" s="213">
        <f>SUM(K314:K315)</f>
        <v>0</v>
      </c>
      <c r="L316" s="213">
        <f>SUM(L314:L315)</f>
        <v>259853276</v>
      </c>
      <c r="M316" s="43">
        <f>SUM(M315)</f>
        <v>0</v>
      </c>
      <c r="N316" s="44">
        <f>SUM(N315:N315)</f>
        <v>259853276</v>
      </c>
      <c r="O316" s="45">
        <f>N316/C316</f>
        <v>1</v>
      </c>
      <c r="P316" s="46"/>
      <c r="Q316" s="47"/>
      <c r="R316" s="107"/>
      <c r="T316" s="50"/>
      <c r="U316" s="50"/>
      <c r="V316" s="50"/>
      <c r="W316" s="50"/>
    </row>
    <row r="317" spans="1:46" ht="12.75" customHeight="1" x14ac:dyDescent="0.25">
      <c r="A317" s="883" t="s">
        <v>122</v>
      </c>
      <c r="B317" s="884"/>
      <c r="C317" s="884"/>
      <c r="D317" s="884"/>
      <c r="E317" s="884"/>
      <c r="F317" s="884"/>
      <c r="G317" s="884"/>
      <c r="H317" s="884"/>
      <c r="I317" s="884"/>
      <c r="J317" s="884"/>
      <c r="K317" s="884"/>
      <c r="L317" s="884"/>
      <c r="M317" s="884"/>
      <c r="N317" s="884"/>
      <c r="O317" s="884"/>
      <c r="P317" s="884"/>
      <c r="Q317" s="884"/>
      <c r="R317" s="885"/>
      <c r="T317" s="50"/>
      <c r="U317" s="50"/>
      <c r="V317" s="50"/>
      <c r="W317" s="50"/>
    </row>
    <row r="318" spans="1:46" ht="12.75" customHeight="1" x14ac:dyDescent="0.25">
      <c r="A318" s="21" t="s">
        <v>62</v>
      </c>
      <c r="B318" s="839" t="s">
        <v>123</v>
      </c>
      <c r="C318" s="840"/>
      <c r="D318" s="840"/>
      <c r="E318" s="840"/>
      <c r="F318" s="840"/>
      <c r="G318" s="840"/>
      <c r="H318" s="840"/>
      <c r="I318" s="840"/>
      <c r="J318" s="840"/>
      <c r="K318" s="840"/>
      <c r="L318" s="840"/>
      <c r="M318" s="840"/>
      <c r="N318" s="840"/>
      <c r="O318" s="840"/>
      <c r="P318" s="840"/>
      <c r="Q318" s="840"/>
      <c r="R318" s="841"/>
      <c r="T318" s="50"/>
      <c r="U318" s="50"/>
      <c r="V318" s="50"/>
      <c r="W318" s="50"/>
    </row>
    <row r="319" spans="1:46" ht="12.75" customHeight="1" x14ac:dyDescent="0.25">
      <c r="A319" s="21" t="s">
        <v>3</v>
      </c>
      <c r="B319" s="839" t="s">
        <v>126</v>
      </c>
      <c r="C319" s="840"/>
      <c r="D319" s="840"/>
      <c r="E319" s="840"/>
      <c r="F319" s="840"/>
      <c r="G319" s="840"/>
      <c r="H319" s="840"/>
      <c r="I319" s="840"/>
      <c r="J319" s="840"/>
      <c r="K319" s="840"/>
      <c r="L319" s="840"/>
      <c r="M319" s="840"/>
      <c r="N319" s="840"/>
      <c r="O319" s="840"/>
      <c r="P319" s="840"/>
      <c r="Q319" s="840"/>
      <c r="R319" s="841"/>
      <c r="T319" s="50"/>
      <c r="U319" s="50"/>
      <c r="V319" s="50"/>
      <c r="W319" s="50"/>
    </row>
    <row r="320" spans="1:46" x14ac:dyDescent="0.25">
      <c r="A320" s="21" t="s">
        <v>5</v>
      </c>
      <c r="B320" s="842" t="s">
        <v>127</v>
      </c>
      <c r="C320" s="843"/>
      <c r="D320" s="843"/>
      <c r="E320" s="843"/>
      <c r="F320" s="843"/>
      <c r="G320" s="843"/>
      <c r="H320" s="843"/>
      <c r="I320" s="843"/>
      <c r="J320" s="843"/>
      <c r="K320" s="843"/>
      <c r="L320" s="843"/>
      <c r="M320" s="843"/>
      <c r="N320" s="843"/>
      <c r="O320" s="843"/>
      <c r="P320" s="843"/>
      <c r="Q320" s="843"/>
      <c r="R320" s="844"/>
      <c r="T320" s="50"/>
      <c r="U320" s="50"/>
      <c r="V320" s="50"/>
      <c r="W320" s="50"/>
    </row>
    <row r="321" spans="1:23" x14ac:dyDescent="0.25">
      <c r="A321" s="21" t="s">
        <v>6</v>
      </c>
      <c r="B321" s="842" t="s">
        <v>128</v>
      </c>
      <c r="C321" s="843"/>
      <c r="D321" s="843"/>
      <c r="E321" s="843"/>
      <c r="F321" s="843"/>
      <c r="G321" s="843"/>
      <c r="H321" s="843"/>
      <c r="I321" s="843"/>
      <c r="J321" s="843"/>
      <c r="K321" s="843"/>
      <c r="L321" s="843"/>
      <c r="M321" s="843"/>
      <c r="N321" s="843"/>
      <c r="O321" s="843"/>
      <c r="P321" s="843"/>
      <c r="Q321" s="843"/>
      <c r="R321" s="844"/>
      <c r="T321" s="50"/>
      <c r="U321" s="50"/>
      <c r="V321" s="50"/>
      <c r="W321" s="50"/>
    </row>
    <row r="322" spans="1:23" x14ac:dyDescent="0.25">
      <c r="A322" s="21" t="s">
        <v>8</v>
      </c>
      <c r="B322" s="842" t="s">
        <v>125</v>
      </c>
      <c r="C322" s="843"/>
      <c r="D322" s="843"/>
      <c r="E322" s="843"/>
      <c r="F322" s="843"/>
      <c r="G322" s="843"/>
      <c r="H322" s="843"/>
      <c r="I322" s="843"/>
      <c r="J322" s="843"/>
      <c r="K322" s="843"/>
      <c r="L322" s="843"/>
      <c r="M322" s="843"/>
      <c r="N322" s="843"/>
      <c r="O322" s="843"/>
      <c r="P322" s="843"/>
      <c r="Q322" s="843"/>
      <c r="R322" s="844"/>
      <c r="T322" s="50"/>
      <c r="U322" s="50"/>
      <c r="V322" s="50"/>
      <c r="W322" s="50"/>
    </row>
    <row r="323" spans="1:23" ht="12.75" customHeight="1" x14ac:dyDescent="0.25">
      <c r="A323" s="825" t="s">
        <v>10</v>
      </c>
      <c r="B323" s="793" t="s">
        <v>11</v>
      </c>
      <c r="C323" s="813" t="s">
        <v>12</v>
      </c>
      <c r="D323" s="815" t="s">
        <v>361</v>
      </c>
      <c r="E323" s="816"/>
      <c r="F323" s="816"/>
      <c r="G323" s="816"/>
      <c r="H323" s="816"/>
      <c r="I323" s="816"/>
      <c r="J323" s="816"/>
      <c r="K323" s="816"/>
      <c r="L323" s="817"/>
      <c r="M323" s="818" t="s">
        <v>13</v>
      </c>
      <c r="N323" s="811" t="s">
        <v>14</v>
      </c>
      <c r="O323" s="793" t="s">
        <v>15</v>
      </c>
      <c r="P323" s="795" t="s">
        <v>16</v>
      </c>
      <c r="Q323" s="793" t="s">
        <v>17</v>
      </c>
      <c r="R323" s="797" t="s">
        <v>18</v>
      </c>
      <c r="T323" s="50"/>
      <c r="U323" s="50"/>
      <c r="V323" s="50"/>
      <c r="W323" s="50"/>
    </row>
    <row r="324" spans="1:23" ht="27" customHeight="1" x14ac:dyDescent="0.25">
      <c r="A324" s="826"/>
      <c r="B324" s="794"/>
      <c r="C324" s="814"/>
      <c r="D324" s="193" t="s">
        <v>366</v>
      </c>
      <c r="E324" s="193" t="s">
        <v>362</v>
      </c>
      <c r="F324" s="193" t="s">
        <v>355</v>
      </c>
      <c r="G324" s="193" t="s">
        <v>357</v>
      </c>
      <c r="H324" s="193" t="s">
        <v>352</v>
      </c>
      <c r="I324" s="193" t="s">
        <v>354</v>
      </c>
      <c r="J324" s="193" t="s">
        <v>353</v>
      </c>
      <c r="K324" s="193" t="s">
        <v>356</v>
      </c>
      <c r="L324" s="193" t="s">
        <v>359</v>
      </c>
      <c r="M324" s="819"/>
      <c r="N324" s="812"/>
      <c r="O324" s="794"/>
      <c r="P324" s="796"/>
      <c r="Q324" s="794"/>
      <c r="R324" s="798"/>
    </row>
    <row r="325" spans="1:23" s="55" customFormat="1" ht="43.5" customHeight="1" x14ac:dyDescent="0.25">
      <c r="A325" s="118" t="s">
        <v>291</v>
      </c>
      <c r="B325" s="3">
        <v>1</v>
      </c>
      <c r="C325" s="440">
        <v>15000000</v>
      </c>
      <c r="D325" s="239">
        <v>0</v>
      </c>
      <c r="E325" s="239">
        <v>0</v>
      </c>
      <c r="F325" s="239">
        <v>0</v>
      </c>
      <c r="G325" s="239">
        <v>0</v>
      </c>
      <c r="H325" s="239">
        <v>0</v>
      </c>
      <c r="I325" s="239">
        <v>0</v>
      </c>
      <c r="J325" s="239">
        <v>0</v>
      </c>
      <c r="K325" s="240">
        <f t="shared" ref="K325:K331" si="36">J325+I325+H325+G325+F325+E325+D325</f>
        <v>0</v>
      </c>
      <c r="L325" s="240">
        <f t="shared" ref="L325:L331" si="37">C325-K325</f>
        <v>15000000</v>
      </c>
      <c r="M325" s="15"/>
      <c r="N325" s="10">
        <f t="shared" ref="N325:N331" si="38">C325-M325</f>
        <v>15000000</v>
      </c>
      <c r="O325" s="11">
        <f t="shared" ref="O325:O331" si="39">N325/C325</f>
        <v>1</v>
      </c>
      <c r="P325" s="385"/>
      <c r="Q325" s="38"/>
      <c r="R325" s="109"/>
      <c r="T325" s="56"/>
      <c r="U325" s="56"/>
      <c r="V325" s="56"/>
      <c r="W325" s="56"/>
    </row>
    <row r="326" spans="1:23" s="55" customFormat="1" ht="43.5" customHeight="1" x14ac:dyDescent="0.25">
      <c r="A326" s="168" t="s">
        <v>513</v>
      </c>
      <c r="B326" s="3">
        <v>1</v>
      </c>
      <c r="C326" s="441">
        <v>15000000</v>
      </c>
      <c r="D326" s="239">
        <v>0</v>
      </c>
      <c r="E326" s="239">
        <v>0</v>
      </c>
      <c r="F326" s="239">
        <v>0</v>
      </c>
      <c r="G326" s="239">
        <v>0</v>
      </c>
      <c r="H326" s="239">
        <v>0</v>
      </c>
      <c r="I326" s="239">
        <v>0</v>
      </c>
      <c r="J326" s="239">
        <v>0</v>
      </c>
      <c r="K326" s="240">
        <f>J326+I326+H326+G326+F326+E326+D326</f>
        <v>0</v>
      </c>
      <c r="L326" s="240">
        <f>C326-K326</f>
        <v>15000000</v>
      </c>
      <c r="M326" s="15"/>
      <c r="N326" s="10">
        <f>C326-M326</f>
        <v>15000000</v>
      </c>
      <c r="O326" s="11">
        <f>N326/C326</f>
        <v>1</v>
      </c>
      <c r="P326" s="385"/>
      <c r="Q326" s="38"/>
      <c r="R326" s="109"/>
      <c r="T326" s="56"/>
      <c r="U326" s="56"/>
      <c r="V326" s="56"/>
      <c r="W326" s="56"/>
    </row>
    <row r="327" spans="1:23" s="55" customFormat="1" ht="43.5" customHeight="1" x14ac:dyDescent="0.25">
      <c r="A327" s="118" t="s">
        <v>514</v>
      </c>
      <c r="B327" s="3">
        <v>6</v>
      </c>
      <c r="C327" s="242">
        <v>5000000</v>
      </c>
      <c r="D327" s="239">
        <v>0</v>
      </c>
      <c r="E327" s="239">
        <v>0</v>
      </c>
      <c r="F327" s="239">
        <v>0</v>
      </c>
      <c r="G327" s="239">
        <v>0</v>
      </c>
      <c r="H327" s="239">
        <v>0</v>
      </c>
      <c r="I327" s="239">
        <v>0</v>
      </c>
      <c r="J327" s="239">
        <v>0</v>
      </c>
      <c r="K327" s="240">
        <f>J327+I327+H327+G327+F327+E327+D327</f>
        <v>0</v>
      </c>
      <c r="L327" s="240">
        <f>C327-K327</f>
        <v>5000000</v>
      </c>
      <c r="M327" s="15"/>
      <c r="N327" s="10">
        <f>C327-M327</f>
        <v>5000000</v>
      </c>
      <c r="O327" s="11">
        <f>N327/C327</f>
        <v>1</v>
      </c>
      <c r="P327" s="385"/>
      <c r="Q327" s="38"/>
      <c r="R327" s="109"/>
      <c r="T327" s="56"/>
      <c r="U327" s="56"/>
      <c r="V327" s="56"/>
      <c r="W327" s="56"/>
    </row>
    <row r="328" spans="1:23" s="55" customFormat="1" ht="48" customHeight="1" x14ac:dyDescent="0.25">
      <c r="A328" s="118" t="s">
        <v>515</v>
      </c>
      <c r="B328" s="3">
        <v>5</v>
      </c>
      <c r="C328" s="242">
        <v>5000000</v>
      </c>
      <c r="D328" s="239">
        <v>0</v>
      </c>
      <c r="E328" s="239">
        <v>0</v>
      </c>
      <c r="F328" s="239">
        <v>0</v>
      </c>
      <c r="G328" s="239">
        <v>0</v>
      </c>
      <c r="H328" s="239">
        <v>0</v>
      </c>
      <c r="I328" s="239">
        <v>0</v>
      </c>
      <c r="J328" s="239">
        <v>0</v>
      </c>
      <c r="K328" s="240">
        <f t="shared" si="36"/>
        <v>0</v>
      </c>
      <c r="L328" s="240">
        <f t="shared" si="37"/>
        <v>5000000</v>
      </c>
      <c r="M328" s="15"/>
      <c r="N328" s="10">
        <f t="shared" si="38"/>
        <v>5000000</v>
      </c>
      <c r="O328" s="11">
        <f t="shared" si="39"/>
        <v>1</v>
      </c>
      <c r="P328" s="300"/>
      <c r="Q328" s="38"/>
      <c r="R328" s="109"/>
      <c r="T328" s="56"/>
      <c r="U328" s="56"/>
      <c r="V328" s="56"/>
      <c r="W328" s="56"/>
    </row>
    <row r="329" spans="1:23" s="55" customFormat="1" ht="73.5" customHeight="1" x14ac:dyDescent="0.25">
      <c r="A329" s="118" t="s">
        <v>516</v>
      </c>
      <c r="B329" s="3">
        <v>1</v>
      </c>
      <c r="C329" s="242">
        <v>10000000</v>
      </c>
      <c r="D329" s="239">
        <v>0</v>
      </c>
      <c r="E329" s="239">
        <v>0</v>
      </c>
      <c r="F329" s="239">
        <v>0</v>
      </c>
      <c r="G329" s="239">
        <v>0</v>
      </c>
      <c r="H329" s="239">
        <v>0</v>
      </c>
      <c r="I329" s="239">
        <v>0</v>
      </c>
      <c r="J329" s="239">
        <v>0</v>
      </c>
      <c r="K329" s="240">
        <f t="shared" si="36"/>
        <v>0</v>
      </c>
      <c r="L329" s="240">
        <f t="shared" si="37"/>
        <v>10000000</v>
      </c>
      <c r="M329" s="15"/>
      <c r="N329" s="10">
        <f t="shared" si="38"/>
        <v>10000000</v>
      </c>
      <c r="O329" s="11">
        <f t="shared" si="39"/>
        <v>1</v>
      </c>
      <c r="P329" s="300"/>
      <c r="Q329" s="38"/>
      <c r="R329" s="109"/>
      <c r="T329" s="56"/>
      <c r="U329" s="56"/>
      <c r="V329" s="56"/>
      <c r="W329" s="56"/>
    </row>
    <row r="330" spans="1:23" s="55" customFormat="1" ht="90.75" customHeight="1" x14ac:dyDescent="0.25">
      <c r="A330" s="118" t="s">
        <v>517</v>
      </c>
      <c r="B330" s="286">
        <v>1</v>
      </c>
      <c r="C330" s="242">
        <v>20000000</v>
      </c>
      <c r="D330" s="239">
        <v>0</v>
      </c>
      <c r="E330" s="239">
        <v>0</v>
      </c>
      <c r="F330" s="239">
        <v>0</v>
      </c>
      <c r="G330" s="239">
        <v>0</v>
      </c>
      <c r="H330" s="239">
        <v>0</v>
      </c>
      <c r="I330" s="239">
        <v>0</v>
      </c>
      <c r="J330" s="239">
        <v>0</v>
      </c>
      <c r="K330" s="240">
        <f t="shared" si="36"/>
        <v>0</v>
      </c>
      <c r="L330" s="240">
        <f t="shared" si="37"/>
        <v>20000000</v>
      </c>
      <c r="M330" s="15"/>
      <c r="N330" s="10">
        <f t="shared" si="38"/>
        <v>20000000</v>
      </c>
      <c r="O330" s="11">
        <f t="shared" si="39"/>
        <v>1</v>
      </c>
      <c r="P330" s="300"/>
      <c r="Q330" s="30"/>
      <c r="R330" s="106"/>
    </row>
    <row r="331" spans="1:23" s="55" customFormat="1" x14ac:dyDescent="0.25">
      <c r="A331" s="118" t="s">
        <v>518</v>
      </c>
      <c r="B331" s="286">
        <v>4</v>
      </c>
      <c r="C331" s="242">
        <v>209544392</v>
      </c>
      <c r="D331" s="239">
        <v>0</v>
      </c>
      <c r="E331" s="239">
        <v>0</v>
      </c>
      <c r="F331" s="239">
        <v>0</v>
      </c>
      <c r="G331" s="239">
        <v>0</v>
      </c>
      <c r="H331" s="239">
        <v>0</v>
      </c>
      <c r="I331" s="239">
        <v>0</v>
      </c>
      <c r="J331" s="239">
        <v>0</v>
      </c>
      <c r="K331" s="240">
        <f t="shared" si="36"/>
        <v>0</v>
      </c>
      <c r="L331" s="240">
        <f t="shared" si="37"/>
        <v>209544392</v>
      </c>
      <c r="M331" s="15"/>
      <c r="N331" s="10">
        <f t="shared" si="38"/>
        <v>209544392</v>
      </c>
      <c r="O331" s="11">
        <f t="shared" si="39"/>
        <v>1</v>
      </c>
      <c r="P331" s="293"/>
      <c r="Q331" s="30"/>
      <c r="R331" s="106"/>
    </row>
    <row r="332" spans="1:23" x14ac:dyDescent="0.25">
      <c r="A332" s="881" t="s">
        <v>129</v>
      </c>
      <c r="B332" s="882"/>
      <c r="C332" s="213">
        <f>SUM(C318:C331)</f>
        <v>279544392</v>
      </c>
      <c r="D332" s="213"/>
      <c r="E332" s="213"/>
      <c r="F332" s="213"/>
      <c r="G332" s="213"/>
      <c r="H332" s="213"/>
      <c r="I332" s="213"/>
      <c r="J332" s="213"/>
      <c r="K332" s="213">
        <f>SUM(K318:K331)</f>
        <v>0</v>
      </c>
      <c r="L332" s="213">
        <f>SUM(L318:L331)</f>
        <v>279544392</v>
      </c>
      <c r="M332" s="43">
        <f>SUM(M325:M331)</f>
        <v>0</v>
      </c>
      <c r="N332" s="44">
        <f>SUM(N325:N331)</f>
        <v>279544392</v>
      </c>
      <c r="O332" s="45">
        <f>N332/C332</f>
        <v>1</v>
      </c>
      <c r="P332" s="46"/>
      <c r="Q332" s="47"/>
      <c r="R332" s="107"/>
      <c r="T332" s="50"/>
      <c r="U332" s="50"/>
      <c r="V332" s="50"/>
      <c r="W332" s="50"/>
    </row>
    <row r="333" spans="1:23" x14ac:dyDescent="0.25">
      <c r="A333" s="845" t="s">
        <v>130</v>
      </c>
      <c r="B333" s="846"/>
      <c r="C333" s="846"/>
      <c r="D333" s="846"/>
      <c r="E333" s="846"/>
      <c r="F333" s="846"/>
      <c r="G333" s="846"/>
      <c r="H333" s="846"/>
      <c r="I333" s="846"/>
      <c r="J333" s="846"/>
      <c r="K333" s="846"/>
      <c r="L333" s="846"/>
      <c r="M333" s="846"/>
      <c r="N333" s="846"/>
      <c r="O333" s="846"/>
      <c r="P333" s="846"/>
      <c r="Q333" s="846"/>
      <c r="R333" s="847"/>
      <c r="T333" s="50"/>
      <c r="U333" s="50"/>
      <c r="V333" s="50"/>
      <c r="W333" s="50"/>
    </row>
    <row r="334" spans="1:23" x14ac:dyDescent="0.25">
      <c r="A334" s="21" t="s">
        <v>25</v>
      </c>
      <c r="B334" s="809" t="s">
        <v>131</v>
      </c>
      <c r="C334" s="809"/>
      <c r="D334" s="809"/>
      <c r="E334" s="809"/>
      <c r="F334" s="809"/>
      <c r="G334" s="809"/>
      <c r="H334" s="809"/>
      <c r="I334" s="809"/>
      <c r="J334" s="809"/>
      <c r="K334" s="809"/>
      <c r="L334" s="809"/>
      <c r="M334" s="809"/>
      <c r="N334" s="809"/>
      <c r="O334" s="809"/>
      <c r="P334" s="809"/>
      <c r="Q334" s="809"/>
      <c r="R334" s="810"/>
      <c r="T334" s="50"/>
      <c r="U334" s="50"/>
      <c r="V334" s="50"/>
      <c r="W334" s="50"/>
    </row>
    <row r="335" spans="1:23" x14ac:dyDescent="0.25">
      <c r="A335" s="21" t="s">
        <v>3</v>
      </c>
      <c r="B335" s="809" t="s">
        <v>27</v>
      </c>
      <c r="C335" s="809"/>
      <c r="D335" s="809"/>
      <c r="E335" s="809"/>
      <c r="F335" s="809"/>
      <c r="G335" s="809"/>
      <c r="H335" s="809"/>
      <c r="I335" s="809"/>
      <c r="J335" s="809"/>
      <c r="K335" s="809"/>
      <c r="L335" s="809"/>
      <c r="M335" s="809"/>
      <c r="N335" s="809"/>
      <c r="O335" s="809"/>
      <c r="P335" s="809"/>
      <c r="Q335" s="809"/>
      <c r="R335" s="810"/>
      <c r="T335" s="50"/>
      <c r="U335" s="50"/>
      <c r="V335" s="50"/>
      <c r="W335" s="50"/>
    </row>
    <row r="336" spans="1:23" x14ac:dyDescent="0.25">
      <c r="A336" s="21" t="s">
        <v>5</v>
      </c>
      <c r="B336" s="799" t="s">
        <v>132</v>
      </c>
      <c r="C336" s="799"/>
      <c r="D336" s="799"/>
      <c r="E336" s="799"/>
      <c r="F336" s="799"/>
      <c r="G336" s="799"/>
      <c r="H336" s="799"/>
      <c r="I336" s="799"/>
      <c r="J336" s="799"/>
      <c r="K336" s="799"/>
      <c r="L336" s="799"/>
      <c r="M336" s="799"/>
      <c r="N336" s="799"/>
      <c r="O336" s="799"/>
      <c r="P336" s="799"/>
      <c r="Q336" s="799"/>
      <c r="R336" s="800"/>
      <c r="T336" s="50"/>
      <c r="U336" s="50"/>
      <c r="V336" s="50"/>
      <c r="W336" s="50"/>
    </row>
    <row r="337" spans="1:23" x14ac:dyDescent="0.25">
      <c r="A337" s="21" t="s">
        <v>6</v>
      </c>
      <c r="B337" s="799" t="s">
        <v>133</v>
      </c>
      <c r="C337" s="799"/>
      <c r="D337" s="799"/>
      <c r="E337" s="799"/>
      <c r="F337" s="799"/>
      <c r="G337" s="799"/>
      <c r="H337" s="799"/>
      <c r="I337" s="799"/>
      <c r="J337" s="799"/>
      <c r="K337" s="799"/>
      <c r="L337" s="799"/>
      <c r="M337" s="799"/>
      <c r="N337" s="799"/>
      <c r="O337" s="799"/>
      <c r="P337" s="799"/>
      <c r="Q337" s="799"/>
      <c r="R337" s="800"/>
      <c r="T337" s="50"/>
      <c r="U337" s="50"/>
      <c r="V337" s="50"/>
      <c r="W337" s="50"/>
    </row>
    <row r="338" spans="1:23" x14ac:dyDescent="0.25">
      <c r="A338" s="21" t="s">
        <v>8</v>
      </c>
      <c r="B338" s="799" t="s">
        <v>134</v>
      </c>
      <c r="C338" s="799"/>
      <c r="D338" s="799"/>
      <c r="E338" s="799"/>
      <c r="F338" s="799"/>
      <c r="G338" s="799"/>
      <c r="H338" s="799"/>
      <c r="I338" s="799"/>
      <c r="J338" s="799"/>
      <c r="K338" s="799"/>
      <c r="L338" s="799"/>
      <c r="M338" s="799"/>
      <c r="N338" s="799"/>
      <c r="O338" s="799"/>
      <c r="P338" s="799"/>
      <c r="Q338" s="799"/>
      <c r="R338" s="800"/>
      <c r="T338" s="50"/>
      <c r="U338" s="50"/>
      <c r="V338" s="50"/>
      <c r="W338" s="50"/>
    </row>
    <row r="339" spans="1:23" ht="12.75" customHeight="1" x14ac:dyDescent="0.25">
      <c r="A339" s="825" t="s">
        <v>10</v>
      </c>
      <c r="B339" s="793" t="s">
        <v>11</v>
      </c>
      <c r="C339" s="813" t="s">
        <v>12</v>
      </c>
      <c r="D339" s="815" t="s">
        <v>361</v>
      </c>
      <c r="E339" s="816"/>
      <c r="F339" s="816"/>
      <c r="G339" s="816"/>
      <c r="H339" s="816"/>
      <c r="I339" s="816"/>
      <c r="J339" s="816"/>
      <c r="K339" s="816"/>
      <c r="L339" s="817"/>
      <c r="M339" s="818" t="s">
        <v>13</v>
      </c>
      <c r="N339" s="811" t="s">
        <v>14</v>
      </c>
      <c r="O339" s="793" t="s">
        <v>15</v>
      </c>
      <c r="P339" s="795" t="s">
        <v>16</v>
      </c>
      <c r="Q339" s="793" t="s">
        <v>17</v>
      </c>
      <c r="R339" s="797" t="s">
        <v>18</v>
      </c>
      <c r="T339" s="50"/>
      <c r="U339" s="50"/>
      <c r="V339" s="50"/>
      <c r="W339" s="50"/>
    </row>
    <row r="340" spans="1:23" ht="28.5" customHeight="1" x14ac:dyDescent="0.25">
      <c r="A340" s="826"/>
      <c r="B340" s="794"/>
      <c r="C340" s="814"/>
      <c r="D340" s="193" t="s">
        <v>366</v>
      </c>
      <c r="E340" s="193" t="s">
        <v>362</v>
      </c>
      <c r="F340" s="193" t="s">
        <v>355</v>
      </c>
      <c r="G340" s="193" t="s">
        <v>357</v>
      </c>
      <c r="H340" s="193" t="s">
        <v>352</v>
      </c>
      <c r="I340" s="193" t="s">
        <v>354</v>
      </c>
      <c r="J340" s="193" t="s">
        <v>353</v>
      </c>
      <c r="K340" s="193" t="s">
        <v>356</v>
      </c>
      <c r="L340" s="193" t="s">
        <v>359</v>
      </c>
      <c r="M340" s="819"/>
      <c r="N340" s="812"/>
      <c r="O340" s="794"/>
      <c r="P340" s="796"/>
      <c r="Q340" s="794"/>
      <c r="R340" s="798"/>
      <c r="T340" s="50"/>
      <c r="U340" s="50"/>
      <c r="V340" s="50"/>
      <c r="W340" s="50"/>
    </row>
    <row r="341" spans="1:23" ht="15" customHeight="1" x14ac:dyDescent="0.25">
      <c r="A341" s="897" t="s">
        <v>135</v>
      </c>
      <c r="B341" s="898"/>
      <c r="C341" s="898"/>
      <c r="D341" s="898"/>
      <c r="E341" s="898"/>
      <c r="F341" s="898"/>
      <c r="G341" s="898"/>
      <c r="H341" s="898"/>
      <c r="I341" s="898"/>
      <c r="J341" s="898"/>
      <c r="K341" s="898"/>
      <c r="L341" s="898"/>
      <c r="M341" s="898"/>
      <c r="N341" s="898"/>
      <c r="O341" s="898"/>
      <c r="P341" s="898"/>
      <c r="Q341" s="898"/>
      <c r="R341" s="899"/>
      <c r="T341" s="50"/>
      <c r="U341" s="50"/>
      <c r="V341" s="50"/>
      <c r="W341" s="50"/>
    </row>
    <row r="342" spans="1:23" ht="51.75" customHeight="1" x14ac:dyDescent="0.25">
      <c r="A342" s="155" t="s">
        <v>136</v>
      </c>
      <c r="B342" s="243">
        <v>300</v>
      </c>
      <c r="C342" s="442">
        <v>24990000</v>
      </c>
      <c r="D342" s="239">
        <v>0</v>
      </c>
      <c r="E342" s="239">
        <v>0</v>
      </c>
      <c r="F342" s="239">
        <v>0</v>
      </c>
      <c r="G342" s="239">
        <v>0</v>
      </c>
      <c r="H342" s="239">
        <v>0</v>
      </c>
      <c r="I342" s="239">
        <v>0</v>
      </c>
      <c r="J342" s="239">
        <v>0</v>
      </c>
      <c r="K342" s="240">
        <f t="shared" ref="K342:K349" si="40">J342+I342+H342+G342+F342+E342+D342</f>
        <v>0</v>
      </c>
      <c r="L342" s="240">
        <f t="shared" ref="L342:L349" si="41">C342-K342</f>
        <v>24990000</v>
      </c>
      <c r="M342" s="15"/>
      <c r="N342" s="10">
        <f t="shared" ref="N342:N349" si="42">C342-M342</f>
        <v>24990000</v>
      </c>
      <c r="O342" s="11">
        <f t="shared" ref="O342:O349" si="43">N342/C342</f>
        <v>1</v>
      </c>
      <c r="P342" s="24"/>
      <c r="Q342" s="30"/>
      <c r="R342" s="106"/>
      <c r="T342" s="50"/>
      <c r="U342" s="50"/>
      <c r="V342" s="50"/>
      <c r="W342" s="50"/>
    </row>
    <row r="343" spans="1:23" ht="51.75" customHeight="1" x14ac:dyDescent="0.25">
      <c r="A343" s="123" t="s">
        <v>519</v>
      </c>
      <c r="B343" s="243">
        <v>100</v>
      </c>
      <c r="C343" s="442">
        <v>19992000</v>
      </c>
      <c r="D343" s="239">
        <v>0</v>
      </c>
      <c r="E343" s="239">
        <v>0</v>
      </c>
      <c r="F343" s="239">
        <v>0</v>
      </c>
      <c r="G343" s="239">
        <v>0</v>
      </c>
      <c r="H343" s="239">
        <v>0</v>
      </c>
      <c r="I343" s="239">
        <v>0</v>
      </c>
      <c r="J343" s="239">
        <v>0</v>
      </c>
      <c r="K343" s="240">
        <f t="shared" si="40"/>
        <v>0</v>
      </c>
      <c r="L343" s="240">
        <f t="shared" si="41"/>
        <v>19992000</v>
      </c>
      <c r="M343" s="15"/>
      <c r="N343" s="10">
        <f t="shared" si="42"/>
        <v>19992000</v>
      </c>
      <c r="O343" s="11">
        <f t="shared" si="43"/>
        <v>1</v>
      </c>
      <c r="P343" s="24"/>
      <c r="Q343" s="30"/>
      <c r="R343" s="106"/>
      <c r="T343" s="50"/>
      <c r="U343" s="50"/>
      <c r="V343" s="50"/>
      <c r="W343" s="50"/>
    </row>
    <row r="344" spans="1:23" ht="51.75" customHeight="1" x14ac:dyDescent="0.25">
      <c r="A344" s="155" t="s">
        <v>294</v>
      </c>
      <c r="B344" s="243">
        <v>1</v>
      </c>
      <c r="C344" s="442">
        <v>14577500</v>
      </c>
      <c r="D344" s="239">
        <v>0</v>
      </c>
      <c r="E344" s="239">
        <v>0</v>
      </c>
      <c r="F344" s="239">
        <v>0</v>
      </c>
      <c r="G344" s="239">
        <v>0</v>
      </c>
      <c r="H344" s="239">
        <v>0</v>
      </c>
      <c r="I344" s="239">
        <v>0</v>
      </c>
      <c r="J344" s="239">
        <v>0</v>
      </c>
      <c r="K344" s="240">
        <f t="shared" si="40"/>
        <v>0</v>
      </c>
      <c r="L344" s="240">
        <f t="shared" si="41"/>
        <v>14577500</v>
      </c>
      <c r="M344" s="15"/>
      <c r="N344" s="10">
        <f t="shared" si="42"/>
        <v>14577500</v>
      </c>
      <c r="O344" s="11">
        <f t="shared" si="43"/>
        <v>1</v>
      </c>
      <c r="P344" s="24"/>
      <c r="Q344" s="30"/>
      <c r="R344" s="106"/>
      <c r="T344" s="50"/>
      <c r="U344" s="50"/>
      <c r="V344" s="50"/>
      <c r="W344" s="50"/>
    </row>
    <row r="345" spans="1:23" ht="51.75" customHeight="1" x14ac:dyDescent="0.25">
      <c r="A345" s="155" t="s">
        <v>520</v>
      </c>
      <c r="B345" s="243">
        <v>1</v>
      </c>
      <c r="C345" s="442">
        <v>83293059</v>
      </c>
      <c r="D345" s="239">
        <v>0</v>
      </c>
      <c r="E345" s="239">
        <v>0</v>
      </c>
      <c r="F345" s="239">
        <v>0</v>
      </c>
      <c r="G345" s="239">
        <v>0</v>
      </c>
      <c r="H345" s="239">
        <v>0</v>
      </c>
      <c r="I345" s="239">
        <v>0</v>
      </c>
      <c r="J345" s="239">
        <v>0</v>
      </c>
      <c r="K345" s="240">
        <f t="shared" si="40"/>
        <v>0</v>
      </c>
      <c r="L345" s="240">
        <f t="shared" si="41"/>
        <v>83293059</v>
      </c>
      <c r="M345" s="15"/>
      <c r="N345" s="10">
        <f t="shared" si="42"/>
        <v>83293059</v>
      </c>
      <c r="O345" s="11">
        <f t="shared" si="43"/>
        <v>1</v>
      </c>
      <c r="P345" s="24"/>
      <c r="Q345" s="30"/>
      <c r="R345" s="106"/>
      <c r="T345" s="50"/>
      <c r="U345" s="50"/>
      <c r="V345" s="50"/>
      <c r="W345" s="50"/>
    </row>
    <row r="346" spans="1:23" ht="51.75" customHeight="1" x14ac:dyDescent="0.25">
      <c r="A346" s="155" t="s">
        <v>521</v>
      </c>
      <c r="B346" s="243">
        <v>1</v>
      </c>
      <c r="C346" s="442">
        <v>31910841</v>
      </c>
      <c r="D346" s="239">
        <v>0</v>
      </c>
      <c r="E346" s="239">
        <v>0</v>
      </c>
      <c r="F346" s="239">
        <v>0</v>
      </c>
      <c r="G346" s="239">
        <v>0</v>
      </c>
      <c r="H346" s="239">
        <v>0</v>
      </c>
      <c r="I346" s="239">
        <v>0</v>
      </c>
      <c r="J346" s="239">
        <v>0</v>
      </c>
      <c r="K346" s="240">
        <f t="shared" si="40"/>
        <v>0</v>
      </c>
      <c r="L346" s="240">
        <f t="shared" si="41"/>
        <v>31910841</v>
      </c>
      <c r="M346" s="15"/>
      <c r="N346" s="10">
        <f t="shared" si="42"/>
        <v>31910841</v>
      </c>
      <c r="O346" s="11">
        <f t="shared" si="43"/>
        <v>1</v>
      </c>
      <c r="P346" s="24"/>
      <c r="Q346" s="30"/>
      <c r="R346" s="106"/>
      <c r="T346" s="50"/>
      <c r="U346" s="50"/>
      <c r="V346" s="50"/>
      <c r="W346" s="50"/>
    </row>
    <row r="347" spans="1:23" ht="51.75" customHeight="1" x14ac:dyDescent="0.25">
      <c r="A347" s="155" t="s">
        <v>522</v>
      </c>
      <c r="B347" s="243">
        <v>1</v>
      </c>
      <c r="C347" s="442">
        <v>2966666</v>
      </c>
      <c r="D347" s="239">
        <v>0</v>
      </c>
      <c r="E347" s="239">
        <v>0</v>
      </c>
      <c r="F347" s="239">
        <v>0</v>
      </c>
      <c r="G347" s="239">
        <v>0</v>
      </c>
      <c r="H347" s="239">
        <v>0</v>
      </c>
      <c r="I347" s="239">
        <v>0</v>
      </c>
      <c r="J347" s="239">
        <v>0</v>
      </c>
      <c r="K347" s="240">
        <f t="shared" si="40"/>
        <v>0</v>
      </c>
      <c r="L347" s="240">
        <f t="shared" si="41"/>
        <v>2966666</v>
      </c>
      <c r="M347" s="15"/>
      <c r="N347" s="10">
        <f t="shared" si="42"/>
        <v>2966666</v>
      </c>
      <c r="O347" s="11">
        <f t="shared" si="43"/>
        <v>1</v>
      </c>
      <c r="P347" s="24"/>
      <c r="Q347" s="30"/>
      <c r="R347" s="106"/>
      <c r="T347" s="50"/>
      <c r="U347" s="50"/>
      <c r="V347" s="50"/>
      <c r="W347" s="50"/>
    </row>
    <row r="348" spans="1:23" ht="51.75" customHeight="1" x14ac:dyDescent="0.25">
      <c r="A348" s="155" t="s">
        <v>523</v>
      </c>
      <c r="B348" s="243">
        <v>1</v>
      </c>
      <c r="C348" s="442">
        <v>7140000</v>
      </c>
      <c r="D348" s="239">
        <v>0</v>
      </c>
      <c r="E348" s="239">
        <v>0</v>
      </c>
      <c r="F348" s="239">
        <v>0</v>
      </c>
      <c r="G348" s="239">
        <v>0</v>
      </c>
      <c r="H348" s="239">
        <v>0</v>
      </c>
      <c r="I348" s="239">
        <v>0</v>
      </c>
      <c r="J348" s="239">
        <v>0</v>
      </c>
      <c r="K348" s="240">
        <f t="shared" si="40"/>
        <v>0</v>
      </c>
      <c r="L348" s="240">
        <f t="shared" si="41"/>
        <v>7140000</v>
      </c>
      <c r="M348" s="15"/>
      <c r="N348" s="10">
        <f t="shared" si="42"/>
        <v>7140000</v>
      </c>
      <c r="O348" s="11">
        <f t="shared" si="43"/>
        <v>1</v>
      </c>
      <c r="P348" s="24"/>
      <c r="Q348" s="30"/>
      <c r="R348" s="106"/>
      <c r="T348" s="50"/>
      <c r="U348" s="50"/>
      <c r="V348" s="50"/>
      <c r="W348" s="50"/>
    </row>
    <row r="349" spans="1:23" ht="51.75" customHeight="1" x14ac:dyDescent="0.25">
      <c r="A349" s="155" t="s">
        <v>524</v>
      </c>
      <c r="B349" s="243">
        <v>1</v>
      </c>
      <c r="C349" s="442">
        <v>2983737</v>
      </c>
      <c r="D349" s="239">
        <v>0</v>
      </c>
      <c r="E349" s="239">
        <v>0</v>
      </c>
      <c r="F349" s="239">
        <v>0</v>
      </c>
      <c r="G349" s="239">
        <v>0</v>
      </c>
      <c r="H349" s="239">
        <v>0</v>
      </c>
      <c r="I349" s="239">
        <v>0</v>
      </c>
      <c r="J349" s="239">
        <v>0</v>
      </c>
      <c r="K349" s="240">
        <f t="shared" si="40"/>
        <v>0</v>
      </c>
      <c r="L349" s="240">
        <f t="shared" si="41"/>
        <v>2983737</v>
      </c>
      <c r="M349" s="15"/>
      <c r="N349" s="10">
        <f t="shared" si="42"/>
        <v>2983737</v>
      </c>
      <c r="O349" s="11">
        <f t="shared" si="43"/>
        <v>1</v>
      </c>
      <c r="P349" s="24"/>
      <c r="Q349" s="30"/>
      <c r="R349" s="106"/>
      <c r="T349" s="50"/>
      <c r="U349" s="50"/>
      <c r="V349" s="50"/>
      <c r="W349" s="50"/>
    </row>
    <row r="350" spans="1:23" s="55" customFormat="1" ht="51.75" customHeight="1" x14ac:dyDescent="0.25">
      <c r="A350" s="155" t="s">
        <v>525</v>
      </c>
      <c r="B350" s="243">
        <v>2</v>
      </c>
      <c r="C350" s="442">
        <v>1666000</v>
      </c>
      <c r="D350" s="239">
        <v>0</v>
      </c>
      <c r="E350" s="239">
        <v>0</v>
      </c>
      <c r="F350" s="239">
        <v>0</v>
      </c>
      <c r="G350" s="239">
        <v>0</v>
      </c>
      <c r="H350" s="239">
        <v>0</v>
      </c>
      <c r="I350" s="239">
        <v>0</v>
      </c>
      <c r="J350" s="239">
        <v>0</v>
      </c>
      <c r="K350" s="240">
        <f t="shared" ref="K350:K356" si="44">J350+I350+H350+G350+F350+E350+D350</f>
        <v>0</v>
      </c>
      <c r="L350" s="240">
        <f t="shared" ref="L350:L356" si="45">C350-K350</f>
        <v>1666000</v>
      </c>
      <c r="M350" s="15"/>
      <c r="N350" s="10">
        <f t="shared" ref="N350:N356" si="46">C350-M350</f>
        <v>1666000</v>
      </c>
      <c r="O350" s="11">
        <f t="shared" ref="O350:O356" si="47">N350/C350</f>
        <v>1</v>
      </c>
      <c r="P350" s="24"/>
      <c r="Q350" s="30"/>
      <c r="R350" s="106"/>
    </row>
    <row r="351" spans="1:23" s="55" customFormat="1" ht="51.75" customHeight="1" x14ac:dyDescent="0.25">
      <c r="A351" s="155" t="s">
        <v>526</v>
      </c>
      <c r="B351" s="243">
        <v>1</v>
      </c>
      <c r="C351" s="442">
        <v>23800000</v>
      </c>
      <c r="D351" s="239">
        <v>0</v>
      </c>
      <c r="E351" s="239">
        <v>0</v>
      </c>
      <c r="F351" s="239">
        <v>0</v>
      </c>
      <c r="G351" s="239">
        <v>0</v>
      </c>
      <c r="H351" s="239">
        <v>0</v>
      </c>
      <c r="I351" s="239">
        <v>0</v>
      </c>
      <c r="J351" s="239">
        <v>0</v>
      </c>
      <c r="K351" s="240">
        <f t="shared" si="44"/>
        <v>0</v>
      </c>
      <c r="L351" s="240">
        <f t="shared" si="45"/>
        <v>23800000</v>
      </c>
      <c r="M351" s="15"/>
      <c r="N351" s="10">
        <f t="shared" si="46"/>
        <v>23800000</v>
      </c>
      <c r="O351" s="11">
        <f t="shared" si="47"/>
        <v>1</v>
      </c>
      <c r="P351" s="24"/>
      <c r="Q351" s="30"/>
      <c r="R351" s="106"/>
    </row>
    <row r="352" spans="1:23" s="55" customFormat="1" ht="33" customHeight="1" x14ac:dyDescent="0.25">
      <c r="A352" s="155" t="s">
        <v>527</v>
      </c>
      <c r="B352" s="243">
        <v>50</v>
      </c>
      <c r="C352" s="442">
        <v>60228000</v>
      </c>
      <c r="D352" s="239">
        <v>0</v>
      </c>
      <c r="E352" s="239">
        <v>0</v>
      </c>
      <c r="F352" s="239">
        <v>0</v>
      </c>
      <c r="G352" s="239">
        <v>0</v>
      </c>
      <c r="H352" s="239">
        <v>0</v>
      </c>
      <c r="I352" s="239">
        <v>0</v>
      </c>
      <c r="J352" s="239">
        <v>0</v>
      </c>
      <c r="K352" s="240">
        <f t="shared" si="44"/>
        <v>0</v>
      </c>
      <c r="L352" s="240">
        <f t="shared" si="45"/>
        <v>60228000</v>
      </c>
      <c r="M352" s="15"/>
      <c r="N352" s="10">
        <f t="shared" si="46"/>
        <v>60228000</v>
      </c>
      <c r="O352" s="11">
        <f t="shared" si="47"/>
        <v>1</v>
      </c>
      <c r="P352" s="24"/>
      <c r="Q352" s="30"/>
      <c r="R352" s="106"/>
    </row>
    <row r="353" spans="1:23" s="55" customFormat="1" ht="36.75" customHeight="1" x14ac:dyDescent="0.25">
      <c r="A353" s="155" t="s">
        <v>528</v>
      </c>
      <c r="B353" s="243">
        <v>3</v>
      </c>
      <c r="C353" s="442">
        <v>66709416</v>
      </c>
      <c r="D353" s="239">
        <v>0</v>
      </c>
      <c r="E353" s="239">
        <v>0</v>
      </c>
      <c r="F353" s="239">
        <v>0</v>
      </c>
      <c r="G353" s="239">
        <v>0</v>
      </c>
      <c r="H353" s="239">
        <v>0</v>
      </c>
      <c r="I353" s="239">
        <v>0</v>
      </c>
      <c r="J353" s="239">
        <v>0</v>
      </c>
      <c r="K353" s="240">
        <f t="shared" si="44"/>
        <v>0</v>
      </c>
      <c r="L353" s="240">
        <f t="shared" si="45"/>
        <v>66709416</v>
      </c>
      <c r="M353" s="15"/>
      <c r="N353" s="10">
        <f t="shared" si="46"/>
        <v>66709416</v>
      </c>
      <c r="O353" s="11">
        <f t="shared" si="47"/>
        <v>1</v>
      </c>
      <c r="P353" s="24"/>
      <c r="Q353" s="30"/>
      <c r="R353" s="106"/>
    </row>
    <row r="354" spans="1:23" s="55" customFormat="1" ht="41.25" customHeight="1" x14ac:dyDescent="0.25">
      <c r="A354" s="155" t="s">
        <v>529</v>
      </c>
      <c r="B354" s="243"/>
      <c r="C354" s="442">
        <v>116147966</v>
      </c>
      <c r="D354" s="239">
        <v>0</v>
      </c>
      <c r="E354" s="239">
        <v>0</v>
      </c>
      <c r="F354" s="239">
        <v>0</v>
      </c>
      <c r="G354" s="239">
        <v>0</v>
      </c>
      <c r="H354" s="239">
        <v>0</v>
      </c>
      <c r="I354" s="239">
        <v>0</v>
      </c>
      <c r="J354" s="239">
        <v>0</v>
      </c>
      <c r="K354" s="240">
        <f t="shared" si="44"/>
        <v>0</v>
      </c>
      <c r="L354" s="240">
        <f t="shared" si="45"/>
        <v>116147966</v>
      </c>
      <c r="M354" s="15"/>
      <c r="N354" s="10">
        <f t="shared" si="46"/>
        <v>116147966</v>
      </c>
      <c r="O354" s="11">
        <f t="shared" si="47"/>
        <v>1</v>
      </c>
      <c r="P354" s="24"/>
      <c r="Q354" s="30"/>
      <c r="R354" s="106"/>
    </row>
    <row r="355" spans="1:23" s="55" customFormat="1" ht="24" customHeight="1" x14ac:dyDescent="0.25">
      <c r="A355" s="155" t="s">
        <v>530</v>
      </c>
      <c r="B355" s="243">
        <v>4</v>
      </c>
      <c r="C355" s="442">
        <v>2514000</v>
      </c>
      <c r="D355" s="239">
        <v>0</v>
      </c>
      <c r="E355" s="239">
        <v>0</v>
      </c>
      <c r="F355" s="239">
        <v>0</v>
      </c>
      <c r="G355" s="239">
        <v>0</v>
      </c>
      <c r="H355" s="239">
        <v>0</v>
      </c>
      <c r="I355" s="239">
        <v>0</v>
      </c>
      <c r="J355" s="239">
        <v>0</v>
      </c>
      <c r="K355" s="240">
        <f t="shared" si="44"/>
        <v>0</v>
      </c>
      <c r="L355" s="240">
        <f t="shared" si="45"/>
        <v>2514000</v>
      </c>
      <c r="M355" s="15"/>
      <c r="N355" s="10">
        <f t="shared" si="46"/>
        <v>2514000</v>
      </c>
      <c r="O355" s="11">
        <f t="shared" si="47"/>
        <v>1</v>
      </c>
      <c r="P355" s="24"/>
      <c r="Q355" s="30"/>
      <c r="R355" s="106"/>
    </row>
    <row r="356" spans="1:23" s="55" customFormat="1" ht="36.75" customHeight="1" x14ac:dyDescent="0.25">
      <c r="A356" s="155" t="s">
        <v>299</v>
      </c>
      <c r="B356" s="243">
        <v>4</v>
      </c>
      <c r="C356" s="442">
        <v>6745649</v>
      </c>
      <c r="D356" s="239">
        <v>0</v>
      </c>
      <c r="E356" s="239">
        <v>0</v>
      </c>
      <c r="F356" s="239">
        <v>0</v>
      </c>
      <c r="G356" s="239">
        <v>0</v>
      </c>
      <c r="H356" s="239">
        <v>0</v>
      </c>
      <c r="I356" s="239">
        <v>0</v>
      </c>
      <c r="J356" s="239">
        <v>0</v>
      </c>
      <c r="K356" s="240">
        <f t="shared" si="44"/>
        <v>0</v>
      </c>
      <c r="L356" s="240">
        <f t="shared" si="45"/>
        <v>6745649</v>
      </c>
      <c r="M356" s="15"/>
      <c r="N356" s="10">
        <f t="shared" si="46"/>
        <v>6745649</v>
      </c>
      <c r="O356" s="11">
        <f t="shared" si="47"/>
        <v>1</v>
      </c>
      <c r="P356" s="24"/>
      <c r="Q356" s="30"/>
      <c r="R356" s="106"/>
    </row>
    <row r="357" spans="1:23" ht="15" customHeight="1" x14ac:dyDescent="0.25">
      <c r="A357" s="895" t="s">
        <v>137</v>
      </c>
      <c r="B357" s="863"/>
      <c r="C357" s="863"/>
      <c r="D357" s="863"/>
      <c r="E357" s="863"/>
      <c r="F357" s="863"/>
      <c r="G357" s="863"/>
      <c r="H357" s="863"/>
      <c r="I357" s="863"/>
      <c r="J357" s="863"/>
      <c r="K357" s="863"/>
      <c r="L357" s="863"/>
      <c r="M357" s="863"/>
      <c r="N357" s="863"/>
      <c r="O357" s="863"/>
      <c r="P357" s="863"/>
      <c r="Q357" s="863"/>
      <c r="R357" s="896"/>
      <c r="T357" s="50"/>
      <c r="U357" s="50"/>
      <c r="V357" s="50"/>
      <c r="W357" s="50"/>
    </row>
    <row r="358" spans="1:23" ht="54" customHeight="1" x14ac:dyDescent="0.25">
      <c r="A358" s="172" t="s">
        <v>531</v>
      </c>
      <c r="B358" s="171">
        <v>20</v>
      </c>
      <c r="C358" s="443">
        <v>129531500</v>
      </c>
      <c r="D358" s="239">
        <v>0</v>
      </c>
      <c r="E358" s="239">
        <v>0</v>
      </c>
      <c r="F358" s="239">
        <v>0</v>
      </c>
      <c r="G358" s="239">
        <v>0</v>
      </c>
      <c r="H358" s="239">
        <v>0</v>
      </c>
      <c r="I358" s="239">
        <v>0</v>
      </c>
      <c r="J358" s="239">
        <v>0</v>
      </c>
      <c r="K358" s="240">
        <f>J358+I358+H358+G358+F358+E358+D358</f>
        <v>0</v>
      </c>
      <c r="L358" s="240">
        <f>C358-K358</f>
        <v>129531500</v>
      </c>
      <c r="M358" s="15"/>
      <c r="N358" s="10">
        <f>C358-M358</f>
        <v>129531500</v>
      </c>
      <c r="O358" s="11">
        <f>N358/C358</f>
        <v>1</v>
      </c>
      <c r="P358" s="24"/>
      <c r="Q358" s="30"/>
      <c r="R358" s="106"/>
      <c r="T358" s="50"/>
      <c r="U358" s="50"/>
      <c r="V358" s="50"/>
      <c r="W358" s="50"/>
    </row>
    <row r="359" spans="1:23" ht="86.25" customHeight="1" x14ac:dyDescent="0.25">
      <c r="A359" s="173" t="s">
        <v>532</v>
      </c>
      <c r="B359" s="171">
        <v>1</v>
      </c>
      <c r="C359" s="443">
        <v>20000000</v>
      </c>
      <c r="D359" s="239">
        <v>0</v>
      </c>
      <c r="E359" s="239">
        <v>0</v>
      </c>
      <c r="F359" s="239">
        <v>0</v>
      </c>
      <c r="G359" s="239">
        <v>0</v>
      </c>
      <c r="H359" s="239">
        <v>0</v>
      </c>
      <c r="I359" s="239">
        <v>0</v>
      </c>
      <c r="J359" s="239">
        <v>0</v>
      </c>
      <c r="K359" s="240">
        <f>J359+I359+H359+G359+F359+E359+D359</f>
        <v>0</v>
      </c>
      <c r="L359" s="240">
        <f>C359-K359</f>
        <v>20000000</v>
      </c>
      <c r="M359" s="15"/>
      <c r="N359" s="10">
        <f>C359-M359</f>
        <v>20000000</v>
      </c>
      <c r="O359" s="11">
        <f>N359/C359</f>
        <v>1</v>
      </c>
      <c r="P359" s="24"/>
      <c r="Q359" s="30"/>
      <c r="R359" s="106"/>
      <c r="T359" s="50"/>
      <c r="U359" s="50"/>
      <c r="V359" s="50"/>
      <c r="W359" s="50"/>
    </row>
    <row r="360" spans="1:23" ht="25.5" customHeight="1" x14ac:dyDescent="0.25">
      <c r="A360" s="174" t="s">
        <v>533</v>
      </c>
      <c r="B360" s="171">
        <v>1</v>
      </c>
      <c r="C360" s="443">
        <v>3000000</v>
      </c>
      <c r="D360" s="239">
        <v>0</v>
      </c>
      <c r="E360" s="239">
        <v>0</v>
      </c>
      <c r="F360" s="239">
        <v>0</v>
      </c>
      <c r="G360" s="239">
        <v>0</v>
      </c>
      <c r="H360" s="239">
        <v>0</v>
      </c>
      <c r="I360" s="239">
        <v>0</v>
      </c>
      <c r="J360" s="239">
        <v>0</v>
      </c>
      <c r="K360" s="240">
        <f t="shared" ref="K360:K370" si="48">J360+I360+H360+G360+F360+E360+D360</f>
        <v>0</v>
      </c>
      <c r="L360" s="240">
        <f t="shared" ref="L360:L370" si="49">C360-K360</f>
        <v>3000000</v>
      </c>
      <c r="M360" s="15"/>
      <c r="N360" s="10">
        <f t="shared" ref="N360:N370" si="50">C360-M360</f>
        <v>3000000</v>
      </c>
      <c r="O360" s="11">
        <f t="shared" ref="O360:O370" si="51">N360/C360</f>
        <v>1</v>
      </c>
      <c r="P360" s="24"/>
      <c r="Q360" s="30"/>
      <c r="R360" s="106"/>
      <c r="T360" s="50"/>
      <c r="U360" s="50"/>
      <c r="V360" s="50"/>
      <c r="W360" s="50"/>
    </row>
    <row r="361" spans="1:23" ht="25.5" customHeight="1" x14ac:dyDescent="0.25">
      <c r="A361" s="175" t="s">
        <v>534</v>
      </c>
      <c r="B361" s="171">
        <v>1</v>
      </c>
      <c r="C361" s="443">
        <v>3000000</v>
      </c>
      <c r="D361" s="239">
        <v>0</v>
      </c>
      <c r="E361" s="239">
        <v>0</v>
      </c>
      <c r="F361" s="239">
        <v>0</v>
      </c>
      <c r="G361" s="239">
        <v>0</v>
      </c>
      <c r="H361" s="239">
        <v>0</v>
      </c>
      <c r="I361" s="239">
        <v>0</v>
      </c>
      <c r="J361" s="239">
        <v>0</v>
      </c>
      <c r="K361" s="240">
        <f t="shared" si="48"/>
        <v>0</v>
      </c>
      <c r="L361" s="240">
        <f t="shared" si="49"/>
        <v>3000000</v>
      </c>
      <c r="M361" s="15"/>
      <c r="N361" s="10">
        <f t="shared" si="50"/>
        <v>3000000</v>
      </c>
      <c r="O361" s="11">
        <f t="shared" si="51"/>
        <v>1</v>
      </c>
      <c r="P361" s="24"/>
      <c r="Q361" s="30"/>
      <c r="R361" s="106"/>
      <c r="T361" s="50"/>
      <c r="U361" s="50"/>
      <c r="V361" s="50"/>
      <c r="W361" s="50"/>
    </row>
    <row r="362" spans="1:23" ht="25.5" customHeight="1" x14ac:dyDescent="0.25">
      <c r="A362" s="175" t="s">
        <v>535</v>
      </c>
      <c r="B362" s="171">
        <v>1</v>
      </c>
      <c r="C362" s="443">
        <v>3000000</v>
      </c>
      <c r="D362" s="239">
        <v>0</v>
      </c>
      <c r="E362" s="239">
        <v>0</v>
      </c>
      <c r="F362" s="239">
        <v>0</v>
      </c>
      <c r="G362" s="239">
        <v>0</v>
      </c>
      <c r="H362" s="239">
        <v>0</v>
      </c>
      <c r="I362" s="239">
        <v>0</v>
      </c>
      <c r="J362" s="239">
        <v>0</v>
      </c>
      <c r="K362" s="240">
        <f t="shared" si="48"/>
        <v>0</v>
      </c>
      <c r="L362" s="240">
        <f t="shared" si="49"/>
        <v>3000000</v>
      </c>
      <c r="M362" s="15"/>
      <c r="N362" s="10">
        <f t="shared" si="50"/>
        <v>3000000</v>
      </c>
      <c r="O362" s="11">
        <f t="shared" si="51"/>
        <v>1</v>
      </c>
      <c r="P362" s="24"/>
      <c r="Q362" s="30"/>
      <c r="R362" s="106"/>
      <c r="T362" s="50"/>
      <c r="U362" s="50"/>
      <c r="V362" s="50"/>
      <c r="W362" s="50"/>
    </row>
    <row r="363" spans="1:23" ht="25.5" customHeight="1" x14ac:dyDescent="0.25">
      <c r="A363" s="175" t="s">
        <v>536</v>
      </c>
      <c r="B363" s="171">
        <v>10</v>
      </c>
      <c r="C363" s="443">
        <v>17354166</v>
      </c>
      <c r="D363" s="239">
        <v>0</v>
      </c>
      <c r="E363" s="239">
        <v>0</v>
      </c>
      <c r="F363" s="239">
        <v>0</v>
      </c>
      <c r="G363" s="239">
        <v>0</v>
      </c>
      <c r="H363" s="239">
        <v>0</v>
      </c>
      <c r="I363" s="239">
        <v>0</v>
      </c>
      <c r="J363" s="239">
        <v>0</v>
      </c>
      <c r="K363" s="240">
        <f t="shared" si="48"/>
        <v>0</v>
      </c>
      <c r="L363" s="240">
        <f t="shared" si="49"/>
        <v>17354166</v>
      </c>
      <c r="M363" s="15"/>
      <c r="N363" s="10">
        <f t="shared" si="50"/>
        <v>17354166</v>
      </c>
      <c r="O363" s="11">
        <f t="shared" si="51"/>
        <v>1</v>
      </c>
      <c r="P363" s="24"/>
      <c r="Q363" s="30"/>
      <c r="R363" s="106"/>
      <c r="T363" s="50"/>
      <c r="U363" s="50"/>
      <c r="V363" s="50"/>
      <c r="W363" s="50"/>
    </row>
    <row r="364" spans="1:23" ht="25.5" customHeight="1" x14ac:dyDescent="0.25">
      <c r="A364" s="175" t="s">
        <v>537</v>
      </c>
      <c r="B364" s="171">
        <v>5</v>
      </c>
      <c r="C364" s="443">
        <v>2915014</v>
      </c>
      <c r="D364" s="239">
        <v>0</v>
      </c>
      <c r="E364" s="239">
        <v>0</v>
      </c>
      <c r="F364" s="239">
        <v>0</v>
      </c>
      <c r="G364" s="239">
        <v>0</v>
      </c>
      <c r="H364" s="239">
        <v>0</v>
      </c>
      <c r="I364" s="239">
        <v>0</v>
      </c>
      <c r="J364" s="239">
        <v>0</v>
      </c>
      <c r="K364" s="240">
        <f t="shared" si="48"/>
        <v>0</v>
      </c>
      <c r="L364" s="240">
        <f t="shared" si="49"/>
        <v>2915014</v>
      </c>
      <c r="M364" s="15"/>
      <c r="N364" s="10">
        <f t="shared" si="50"/>
        <v>2915014</v>
      </c>
      <c r="O364" s="11">
        <f t="shared" si="51"/>
        <v>1</v>
      </c>
      <c r="P364" s="24"/>
      <c r="Q364" s="30"/>
      <c r="R364" s="106"/>
      <c r="T364" s="50"/>
      <c r="U364" s="50"/>
      <c r="V364" s="50"/>
      <c r="W364" s="50"/>
    </row>
    <row r="365" spans="1:23" ht="25.5" customHeight="1" x14ac:dyDescent="0.25">
      <c r="A365" s="175" t="s">
        <v>538</v>
      </c>
      <c r="B365" s="171">
        <v>2</v>
      </c>
      <c r="C365" s="443">
        <v>1263384</v>
      </c>
      <c r="D365" s="239">
        <v>0</v>
      </c>
      <c r="E365" s="239">
        <v>0</v>
      </c>
      <c r="F365" s="239">
        <v>0</v>
      </c>
      <c r="G365" s="239">
        <v>0</v>
      </c>
      <c r="H365" s="239">
        <v>0</v>
      </c>
      <c r="I365" s="239">
        <v>0</v>
      </c>
      <c r="J365" s="239">
        <v>0</v>
      </c>
      <c r="K365" s="240">
        <f t="shared" si="48"/>
        <v>0</v>
      </c>
      <c r="L365" s="240">
        <f t="shared" si="49"/>
        <v>1263384</v>
      </c>
      <c r="M365" s="15"/>
      <c r="N365" s="10">
        <f t="shared" si="50"/>
        <v>1263384</v>
      </c>
      <c r="O365" s="11">
        <f t="shared" si="51"/>
        <v>1</v>
      </c>
      <c r="P365" s="24"/>
      <c r="Q365" s="30"/>
      <c r="R365" s="106"/>
      <c r="T365" s="50"/>
      <c r="U365" s="50"/>
      <c r="V365" s="50"/>
      <c r="W365" s="50"/>
    </row>
    <row r="366" spans="1:23" ht="25.5" customHeight="1" x14ac:dyDescent="0.25">
      <c r="A366" s="175" t="s">
        <v>539</v>
      </c>
      <c r="B366" s="171">
        <v>1</v>
      </c>
      <c r="C366" s="443">
        <v>1786785</v>
      </c>
      <c r="D366" s="239">
        <v>0</v>
      </c>
      <c r="E366" s="239">
        <v>0</v>
      </c>
      <c r="F366" s="239">
        <v>0</v>
      </c>
      <c r="G366" s="239">
        <v>0</v>
      </c>
      <c r="H366" s="239">
        <v>0</v>
      </c>
      <c r="I366" s="239">
        <v>0</v>
      </c>
      <c r="J366" s="239">
        <v>0</v>
      </c>
      <c r="K366" s="240">
        <f t="shared" si="48"/>
        <v>0</v>
      </c>
      <c r="L366" s="240">
        <f t="shared" si="49"/>
        <v>1786785</v>
      </c>
      <c r="M366" s="15"/>
      <c r="N366" s="10">
        <f t="shared" si="50"/>
        <v>1786785</v>
      </c>
      <c r="O366" s="11">
        <f t="shared" si="51"/>
        <v>1</v>
      </c>
      <c r="P366" s="24"/>
      <c r="Q366" s="30"/>
      <c r="R366" s="106"/>
      <c r="T366" s="50"/>
      <c r="U366" s="50"/>
      <c r="V366" s="50"/>
      <c r="W366" s="50"/>
    </row>
    <row r="367" spans="1:23" ht="25.5" customHeight="1" x14ac:dyDescent="0.25">
      <c r="A367" s="175" t="s">
        <v>540</v>
      </c>
      <c r="B367" s="171">
        <v>350</v>
      </c>
      <c r="C367" s="443">
        <v>17909500</v>
      </c>
      <c r="D367" s="239">
        <v>0</v>
      </c>
      <c r="E367" s="239">
        <v>0</v>
      </c>
      <c r="F367" s="239">
        <v>0</v>
      </c>
      <c r="G367" s="239">
        <v>0</v>
      </c>
      <c r="H367" s="239">
        <v>0</v>
      </c>
      <c r="I367" s="239">
        <v>0</v>
      </c>
      <c r="J367" s="239">
        <v>0</v>
      </c>
      <c r="K367" s="240">
        <f t="shared" si="48"/>
        <v>0</v>
      </c>
      <c r="L367" s="240">
        <f t="shared" si="49"/>
        <v>17909500</v>
      </c>
      <c r="M367" s="15"/>
      <c r="N367" s="10">
        <f t="shared" si="50"/>
        <v>17909500</v>
      </c>
      <c r="O367" s="11">
        <f t="shared" si="51"/>
        <v>1</v>
      </c>
      <c r="P367" s="24"/>
      <c r="Q367" s="30"/>
      <c r="R367" s="106"/>
      <c r="T367" s="50"/>
      <c r="U367" s="50"/>
      <c r="V367" s="50"/>
      <c r="W367" s="50"/>
    </row>
    <row r="368" spans="1:23" ht="25.5" customHeight="1" x14ac:dyDescent="0.25">
      <c r="A368" s="175" t="s">
        <v>541</v>
      </c>
      <c r="B368" s="171">
        <v>50</v>
      </c>
      <c r="C368" s="443">
        <v>2300666</v>
      </c>
      <c r="D368" s="239">
        <v>0</v>
      </c>
      <c r="E368" s="239">
        <v>0</v>
      </c>
      <c r="F368" s="239">
        <v>0</v>
      </c>
      <c r="G368" s="239">
        <v>0</v>
      </c>
      <c r="H368" s="239">
        <v>0</v>
      </c>
      <c r="I368" s="239">
        <v>0</v>
      </c>
      <c r="J368" s="239">
        <v>0</v>
      </c>
      <c r="K368" s="240">
        <f t="shared" si="48"/>
        <v>0</v>
      </c>
      <c r="L368" s="240">
        <f t="shared" si="49"/>
        <v>2300666</v>
      </c>
      <c r="M368" s="15"/>
      <c r="N368" s="10">
        <f t="shared" si="50"/>
        <v>2300666</v>
      </c>
      <c r="O368" s="11">
        <f t="shared" si="51"/>
        <v>1</v>
      </c>
      <c r="P368" s="24"/>
      <c r="Q368" s="30"/>
      <c r="R368" s="106"/>
      <c r="T368" s="50"/>
      <c r="U368" s="50"/>
      <c r="V368" s="50"/>
      <c r="W368" s="50"/>
    </row>
    <row r="369" spans="1:23" ht="210" customHeight="1" x14ac:dyDescent="0.25">
      <c r="A369" s="175" t="s">
        <v>542</v>
      </c>
      <c r="B369" s="171">
        <v>2</v>
      </c>
      <c r="C369" s="443">
        <v>62093763</v>
      </c>
      <c r="D369" s="239">
        <v>0</v>
      </c>
      <c r="E369" s="239">
        <v>0</v>
      </c>
      <c r="F369" s="239">
        <v>0</v>
      </c>
      <c r="G369" s="239">
        <v>0</v>
      </c>
      <c r="H369" s="239">
        <v>0</v>
      </c>
      <c r="I369" s="239">
        <v>0</v>
      </c>
      <c r="J369" s="239">
        <v>0</v>
      </c>
      <c r="K369" s="240">
        <f t="shared" si="48"/>
        <v>0</v>
      </c>
      <c r="L369" s="240">
        <f t="shared" si="49"/>
        <v>62093763</v>
      </c>
      <c r="M369" s="15"/>
      <c r="N369" s="10">
        <f t="shared" si="50"/>
        <v>62093763</v>
      </c>
      <c r="O369" s="11">
        <f t="shared" si="51"/>
        <v>1</v>
      </c>
      <c r="P369" s="24"/>
      <c r="Q369" s="30"/>
      <c r="R369" s="106"/>
      <c r="T369" s="50"/>
      <c r="U369" s="50"/>
      <c r="V369" s="50"/>
      <c r="W369" s="50"/>
    </row>
    <row r="370" spans="1:23" ht="101.25" customHeight="1" x14ac:dyDescent="0.25">
      <c r="A370" s="175" t="s">
        <v>543</v>
      </c>
      <c r="B370" s="171">
        <v>3</v>
      </c>
      <c r="C370" s="443">
        <v>7474440</v>
      </c>
      <c r="D370" s="239">
        <v>0</v>
      </c>
      <c r="E370" s="239">
        <v>0</v>
      </c>
      <c r="F370" s="239">
        <v>0</v>
      </c>
      <c r="G370" s="239">
        <v>0</v>
      </c>
      <c r="H370" s="239">
        <v>0</v>
      </c>
      <c r="I370" s="239">
        <v>0</v>
      </c>
      <c r="J370" s="239">
        <v>0</v>
      </c>
      <c r="K370" s="240">
        <f t="shared" si="48"/>
        <v>0</v>
      </c>
      <c r="L370" s="240">
        <f t="shared" si="49"/>
        <v>7474440</v>
      </c>
      <c r="M370" s="15"/>
      <c r="N370" s="10">
        <f t="shared" si="50"/>
        <v>7474440</v>
      </c>
      <c r="O370" s="11">
        <f t="shared" si="51"/>
        <v>1</v>
      </c>
      <c r="P370" s="24"/>
      <c r="Q370" s="30"/>
      <c r="R370" s="106"/>
      <c r="T370" s="50"/>
      <c r="U370" s="50"/>
      <c r="V370" s="50"/>
      <c r="W370" s="50"/>
    </row>
    <row r="371" spans="1:23" ht="15" x14ac:dyDescent="0.25">
      <c r="A371" s="175" t="s">
        <v>544</v>
      </c>
      <c r="B371" s="171">
        <v>20</v>
      </c>
      <c r="C371" s="443">
        <v>1500000</v>
      </c>
      <c r="D371" s="239">
        <v>0</v>
      </c>
      <c r="E371" s="239">
        <v>0</v>
      </c>
      <c r="F371" s="239">
        <v>0</v>
      </c>
      <c r="G371" s="239">
        <v>0</v>
      </c>
      <c r="H371" s="239">
        <v>0</v>
      </c>
      <c r="I371" s="239">
        <v>0</v>
      </c>
      <c r="J371" s="239">
        <v>0</v>
      </c>
      <c r="K371" s="240">
        <f t="shared" ref="K371:K376" si="52">J371+I371+H371+G371+F371+E371+D371</f>
        <v>0</v>
      </c>
      <c r="L371" s="240">
        <f t="shared" ref="L371:L376" si="53">C371-K371</f>
        <v>1500000</v>
      </c>
      <c r="M371" s="15"/>
      <c r="N371" s="10">
        <f t="shared" ref="N371:N376" si="54">C371-M371</f>
        <v>1500000</v>
      </c>
      <c r="O371" s="11">
        <f t="shared" ref="O371:O376" si="55">N371/C371</f>
        <v>1</v>
      </c>
      <c r="P371" s="12"/>
      <c r="Q371" s="13"/>
      <c r="R371" s="106"/>
      <c r="T371" s="50"/>
      <c r="U371" s="50"/>
      <c r="V371" s="50"/>
      <c r="W371" s="50"/>
    </row>
    <row r="372" spans="1:23" ht="36.75" customHeight="1" x14ac:dyDescent="0.25">
      <c r="A372" s="175" t="s">
        <v>545</v>
      </c>
      <c r="B372" s="171">
        <v>20</v>
      </c>
      <c r="C372" s="443">
        <v>2500000</v>
      </c>
      <c r="D372" s="239">
        <v>0</v>
      </c>
      <c r="E372" s="239">
        <v>0</v>
      </c>
      <c r="F372" s="239">
        <v>0</v>
      </c>
      <c r="G372" s="239">
        <v>0</v>
      </c>
      <c r="H372" s="239">
        <v>0</v>
      </c>
      <c r="I372" s="239">
        <v>0</v>
      </c>
      <c r="J372" s="239">
        <v>0</v>
      </c>
      <c r="K372" s="240">
        <f t="shared" si="52"/>
        <v>0</v>
      </c>
      <c r="L372" s="240">
        <f t="shared" si="53"/>
        <v>2500000</v>
      </c>
      <c r="M372" s="15"/>
      <c r="N372" s="10">
        <f t="shared" si="54"/>
        <v>2500000</v>
      </c>
      <c r="O372" s="11">
        <f t="shared" si="55"/>
        <v>1</v>
      </c>
      <c r="P372" s="12"/>
      <c r="Q372" s="13"/>
      <c r="R372" s="106"/>
      <c r="T372" s="50"/>
      <c r="U372" s="50"/>
      <c r="V372" s="50"/>
      <c r="W372" s="50"/>
    </row>
    <row r="373" spans="1:23" ht="33.75" customHeight="1" x14ac:dyDescent="0.25">
      <c r="A373" s="175" t="s">
        <v>546</v>
      </c>
      <c r="B373" s="171">
        <v>2</v>
      </c>
      <c r="C373" s="443">
        <v>800000</v>
      </c>
      <c r="D373" s="239">
        <v>0</v>
      </c>
      <c r="E373" s="239">
        <v>0</v>
      </c>
      <c r="F373" s="239">
        <v>0</v>
      </c>
      <c r="G373" s="239">
        <v>0</v>
      </c>
      <c r="H373" s="239">
        <v>0</v>
      </c>
      <c r="I373" s="239">
        <v>0</v>
      </c>
      <c r="J373" s="239">
        <v>0</v>
      </c>
      <c r="K373" s="240">
        <f t="shared" si="52"/>
        <v>0</v>
      </c>
      <c r="L373" s="240">
        <f t="shared" si="53"/>
        <v>800000</v>
      </c>
      <c r="M373" s="15"/>
      <c r="N373" s="10">
        <f t="shared" si="54"/>
        <v>800000</v>
      </c>
      <c r="O373" s="11">
        <f t="shared" si="55"/>
        <v>1</v>
      </c>
      <c r="P373" s="12"/>
      <c r="Q373" s="13"/>
      <c r="R373" s="106"/>
      <c r="T373" s="50"/>
      <c r="U373" s="50"/>
      <c r="V373" s="50"/>
      <c r="W373" s="50"/>
    </row>
    <row r="374" spans="1:23" ht="39" customHeight="1" x14ac:dyDescent="0.25">
      <c r="A374" s="173" t="s">
        <v>547</v>
      </c>
      <c r="B374" s="171">
        <v>2</v>
      </c>
      <c r="C374" s="443">
        <v>7080500</v>
      </c>
      <c r="D374" s="239">
        <v>0</v>
      </c>
      <c r="E374" s="239">
        <v>0</v>
      </c>
      <c r="F374" s="239">
        <v>0</v>
      </c>
      <c r="G374" s="239">
        <v>0</v>
      </c>
      <c r="H374" s="239">
        <v>0</v>
      </c>
      <c r="I374" s="239">
        <v>0</v>
      </c>
      <c r="J374" s="239">
        <v>0</v>
      </c>
      <c r="K374" s="240">
        <f t="shared" si="52"/>
        <v>0</v>
      </c>
      <c r="L374" s="240">
        <f t="shared" si="53"/>
        <v>7080500</v>
      </c>
      <c r="M374" s="15"/>
      <c r="N374" s="10">
        <f t="shared" si="54"/>
        <v>7080500</v>
      </c>
      <c r="O374" s="11">
        <f t="shared" si="55"/>
        <v>1</v>
      </c>
      <c r="P374" s="12"/>
      <c r="Q374" s="13"/>
      <c r="R374" s="106"/>
      <c r="T374" s="50"/>
      <c r="U374" s="50"/>
      <c r="V374" s="50"/>
      <c r="W374" s="50"/>
    </row>
    <row r="375" spans="1:23" ht="39" customHeight="1" x14ac:dyDescent="0.25">
      <c r="A375" s="173" t="s">
        <v>548</v>
      </c>
      <c r="B375" s="171">
        <v>100</v>
      </c>
      <c r="C375" s="443">
        <v>9142175</v>
      </c>
      <c r="D375" s="239">
        <v>0</v>
      </c>
      <c r="E375" s="239">
        <v>0</v>
      </c>
      <c r="F375" s="239">
        <v>0</v>
      </c>
      <c r="G375" s="239">
        <v>0</v>
      </c>
      <c r="H375" s="239">
        <v>0</v>
      </c>
      <c r="I375" s="239">
        <v>0</v>
      </c>
      <c r="J375" s="239">
        <v>0</v>
      </c>
      <c r="K375" s="240">
        <f t="shared" si="52"/>
        <v>0</v>
      </c>
      <c r="L375" s="240">
        <f t="shared" si="53"/>
        <v>9142175</v>
      </c>
      <c r="M375" s="15"/>
      <c r="N375" s="10">
        <f t="shared" si="54"/>
        <v>9142175</v>
      </c>
      <c r="O375" s="11">
        <f t="shared" si="55"/>
        <v>1</v>
      </c>
      <c r="P375" s="12"/>
      <c r="Q375" s="13"/>
      <c r="R375" s="106"/>
      <c r="T375" s="50"/>
      <c r="U375" s="50"/>
      <c r="V375" s="50"/>
      <c r="W375" s="50"/>
    </row>
    <row r="376" spans="1:23" ht="86.25" customHeight="1" x14ac:dyDescent="0.25">
      <c r="A376" s="173" t="s">
        <v>549</v>
      </c>
      <c r="B376" s="171">
        <v>1</v>
      </c>
      <c r="C376" s="443">
        <v>22343206</v>
      </c>
      <c r="D376" s="239">
        <v>0</v>
      </c>
      <c r="E376" s="239">
        <v>0</v>
      </c>
      <c r="F376" s="239">
        <v>0</v>
      </c>
      <c r="G376" s="239">
        <v>0</v>
      </c>
      <c r="H376" s="239">
        <v>0</v>
      </c>
      <c r="I376" s="239">
        <v>0</v>
      </c>
      <c r="J376" s="239">
        <v>0</v>
      </c>
      <c r="K376" s="240">
        <f t="shared" si="52"/>
        <v>0</v>
      </c>
      <c r="L376" s="240">
        <f t="shared" si="53"/>
        <v>22343206</v>
      </c>
      <c r="M376" s="15"/>
      <c r="N376" s="10">
        <f t="shared" si="54"/>
        <v>22343206</v>
      </c>
      <c r="O376" s="11">
        <f t="shared" si="55"/>
        <v>1</v>
      </c>
      <c r="P376" s="12"/>
      <c r="Q376" s="13"/>
      <c r="R376" s="106"/>
      <c r="T376" s="50"/>
      <c r="U376" s="50"/>
      <c r="V376" s="50"/>
      <c r="W376" s="50"/>
    </row>
    <row r="377" spans="1:23" ht="15" customHeight="1" x14ac:dyDescent="0.25">
      <c r="A377" s="895" t="s">
        <v>311</v>
      </c>
      <c r="B377" s="863"/>
      <c r="C377" s="863"/>
      <c r="D377" s="863"/>
      <c r="E377" s="863"/>
      <c r="F377" s="863"/>
      <c r="G377" s="863"/>
      <c r="H377" s="863"/>
      <c r="I377" s="863"/>
      <c r="J377" s="863"/>
      <c r="K377" s="863"/>
      <c r="L377" s="863"/>
      <c r="M377" s="863"/>
      <c r="N377" s="863"/>
      <c r="O377" s="863"/>
      <c r="P377" s="863"/>
      <c r="Q377" s="863"/>
      <c r="R377" s="896"/>
      <c r="T377" s="50"/>
      <c r="U377" s="50"/>
      <c r="V377" s="50"/>
      <c r="W377" s="50"/>
    </row>
    <row r="378" spans="1:23" ht="40.5" customHeight="1" x14ac:dyDescent="0.25">
      <c r="A378" s="173" t="s">
        <v>550</v>
      </c>
      <c r="B378" s="48">
        <v>1</v>
      </c>
      <c r="C378" s="242">
        <v>12000000</v>
      </c>
      <c r="D378" s="239">
        <v>0</v>
      </c>
      <c r="E378" s="239">
        <v>0</v>
      </c>
      <c r="F378" s="239">
        <v>0</v>
      </c>
      <c r="G378" s="239">
        <v>0</v>
      </c>
      <c r="H378" s="239">
        <v>0</v>
      </c>
      <c r="I378" s="239">
        <v>0</v>
      </c>
      <c r="J378" s="239">
        <v>0</v>
      </c>
      <c r="K378" s="240">
        <f>J378+I378+H378+G378+F378+E378+D378</f>
        <v>0</v>
      </c>
      <c r="L378" s="240">
        <f>C378-K378</f>
        <v>12000000</v>
      </c>
      <c r="M378" s="15"/>
      <c r="N378" s="10">
        <f>C378-M378</f>
        <v>12000000</v>
      </c>
      <c r="O378" s="11">
        <f>N378/C378</f>
        <v>1</v>
      </c>
      <c r="P378" s="12"/>
      <c r="Q378" s="13"/>
      <c r="R378" s="104"/>
      <c r="T378" s="50"/>
      <c r="U378" s="50"/>
      <c r="V378" s="50"/>
      <c r="W378" s="50"/>
    </row>
    <row r="379" spans="1:23" x14ac:dyDescent="0.25">
      <c r="A379" s="895" t="s">
        <v>139</v>
      </c>
      <c r="B379" s="863"/>
      <c r="C379" s="863"/>
      <c r="D379" s="863"/>
      <c r="E379" s="863"/>
      <c r="F379" s="863"/>
      <c r="G379" s="863"/>
      <c r="H379" s="863"/>
      <c r="I379" s="863"/>
      <c r="J379" s="863"/>
      <c r="K379" s="863"/>
      <c r="L379" s="863"/>
      <c r="M379" s="863"/>
      <c r="N379" s="863"/>
      <c r="O379" s="863"/>
      <c r="P379" s="863"/>
      <c r="Q379" s="863"/>
      <c r="R379" s="896"/>
      <c r="T379" s="50"/>
      <c r="U379" s="50"/>
      <c r="V379" s="50"/>
      <c r="W379" s="50"/>
    </row>
    <row r="380" spans="1:23" ht="25.5" x14ac:dyDescent="0.25">
      <c r="A380" s="172" t="s">
        <v>551</v>
      </c>
      <c r="B380" s="171">
        <v>1</v>
      </c>
      <c r="C380" s="444">
        <v>20000000</v>
      </c>
      <c r="D380" s="239">
        <v>0</v>
      </c>
      <c r="E380" s="239">
        <v>0</v>
      </c>
      <c r="F380" s="239">
        <v>0</v>
      </c>
      <c r="G380" s="239">
        <v>0</v>
      </c>
      <c r="H380" s="239">
        <v>0</v>
      </c>
      <c r="I380" s="239">
        <v>0</v>
      </c>
      <c r="J380" s="239">
        <v>0</v>
      </c>
      <c r="K380" s="240">
        <f t="shared" ref="K380:K385" si="56">J380+I380+H380+G380+F380+E380+D380</f>
        <v>0</v>
      </c>
      <c r="L380" s="240">
        <f t="shared" ref="L380:L385" si="57">C380-K380</f>
        <v>20000000</v>
      </c>
      <c r="M380" s="15"/>
      <c r="N380" s="10">
        <f t="shared" ref="N380:N385" si="58">C380-M380</f>
        <v>20000000</v>
      </c>
      <c r="O380" s="11">
        <f t="shared" ref="O380:O385" si="59">N380/C380</f>
        <v>1</v>
      </c>
      <c r="P380" s="325"/>
      <c r="Q380" s="30"/>
      <c r="R380" s="106"/>
      <c r="T380" s="50"/>
      <c r="U380" s="50"/>
      <c r="V380" s="50"/>
      <c r="W380" s="50"/>
    </row>
    <row r="381" spans="1:23" s="55" customFormat="1" ht="81.75" customHeight="1" x14ac:dyDescent="0.25">
      <c r="A381" s="172" t="s">
        <v>552</v>
      </c>
      <c r="B381" s="171">
        <v>1</v>
      </c>
      <c r="C381" s="444">
        <v>3000000</v>
      </c>
      <c r="D381" s="239">
        <v>0</v>
      </c>
      <c r="E381" s="239">
        <v>0</v>
      </c>
      <c r="F381" s="239">
        <v>0</v>
      </c>
      <c r="G381" s="239">
        <v>0</v>
      </c>
      <c r="H381" s="239">
        <v>0</v>
      </c>
      <c r="I381" s="239">
        <v>0</v>
      </c>
      <c r="J381" s="239">
        <v>0</v>
      </c>
      <c r="K381" s="240">
        <f t="shared" si="56"/>
        <v>0</v>
      </c>
      <c r="L381" s="240">
        <f t="shared" si="57"/>
        <v>3000000</v>
      </c>
      <c r="M381" s="15"/>
      <c r="N381" s="10">
        <f t="shared" si="58"/>
        <v>3000000</v>
      </c>
      <c r="O381" s="11">
        <f t="shared" si="59"/>
        <v>1</v>
      </c>
      <c r="P381" s="325"/>
      <c r="R381" s="106"/>
      <c r="T381" s="39">
        <v>234233811</v>
      </c>
      <c r="U381" s="56"/>
      <c r="V381" s="56"/>
      <c r="W381" s="56"/>
    </row>
    <row r="382" spans="1:23" s="55" customFormat="1" ht="25.5" x14ac:dyDescent="0.25">
      <c r="A382" s="172" t="s">
        <v>553</v>
      </c>
      <c r="B382" s="171">
        <v>1</v>
      </c>
      <c r="C382" s="444">
        <v>35890000</v>
      </c>
      <c r="D382" s="239">
        <v>0</v>
      </c>
      <c r="E382" s="239">
        <v>0</v>
      </c>
      <c r="F382" s="239">
        <v>0</v>
      </c>
      <c r="G382" s="239">
        <v>0</v>
      </c>
      <c r="H382" s="239">
        <v>0</v>
      </c>
      <c r="I382" s="239">
        <v>0</v>
      </c>
      <c r="J382" s="239">
        <v>0</v>
      </c>
      <c r="K382" s="240">
        <f t="shared" si="56"/>
        <v>0</v>
      </c>
      <c r="L382" s="240">
        <f t="shared" si="57"/>
        <v>35890000</v>
      </c>
      <c r="M382" s="15"/>
      <c r="N382" s="10">
        <f t="shared" si="58"/>
        <v>35890000</v>
      </c>
      <c r="O382" s="11">
        <f t="shared" si="59"/>
        <v>1</v>
      </c>
      <c r="P382" s="176"/>
      <c r="Q382" s="30"/>
      <c r="R382" s="106"/>
      <c r="T382" s="97"/>
      <c r="U382" s="56"/>
      <c r="V382" s="56"/>
      <c r="W382" s="56"/>
    </row>
    <row r="383" spans="1:23" s="55" customFormat="1" ht="25.5" x14ac:dyDescent="0.25">
      <c r="A383" s="172" t="s">
        <v>554</v>
      </c>
      <c r="B383" s="171">
        <v>11</v>
      </c>
      <c r="C383" s="444">
        <v>2450000</v>
      </c>
      <c r="D383" s="239">
        <v>0</v>
      </c>
      <c r="E383" s="239">
        <v>0</v>
      </c>
      <c r="F383" s="239">
        <v>0</v>
      </c>
      <c r="G383" s="239">
        <v>0</v>
      </c>
      <c r="H383" s="239">
        <v>0</v>
      </c>
      <c r="I383" s="239">
        <v>0</v>
      </c>
      <c r="J383" s="239">
        <v>0</v>
      </c>
      <c r="K383" s="240">
        <f t="shared" si="56"/>
        <v>0</v>
      </c>
      <c r="L383" s="240">
        <f t="shared" si="57"/>
        <v>2450000</v>
      </c>
      <c r="M383" s="15"/>
      <c r="N383" s="10">
        <f t="shared" si="58"/>
        <v>2450000</v>
      </c>
      <c r="O383" s="11">
        <f t="shared" si="59"/>
        <v>1</v>
      </c>
      <c r="P383" s="177"/>
      <c r="Q383" s="30"/>
      <c r="R383" s="106"/>
      <c r="T383" s="97"/>
      <c r="U383" s="56"/>
      <c r="V383" s="56"/>
      <c r="W383" s="56"/>
    </row>
    <row r="384" spans="1:23" s="55" customFormat="1" ht="38.25" x14ac:dyDescent="0.25">
      <c r="A384" s="172" t="s">
        <v>555</v>
      </c>
      <c r="B384" s="171">
        <v>1</v>
      </c>
      <c r="C384" s="444">
        <v>320000000</v>
      </c>
      <c r="D384" s="239">
        <v>0</v>
      </c>
      <c r="E384" s="239">
        <v>0</v>
      </c>
      <c r="F384" s="239">
        <v>0</v>
      </c>
      <c r="G384" s="239">
        <v>0</v>
      </c>
      <c r="H384" s="239">
        <v>0</v>
      </c>
      <c r="I384" s="239">
        <v>0</v>
      </c>
      <c r="J384" s="239">
        <v>0</v>
      </c>
      <c r="K384" s="240">
        <f t="shared" si="56"/>
        <v>0</v>
      </c>
      <c r="L384" s="240">
        <f t="shared" si="57"/>
        <v>320000000</v>
      </c>
      <c r="M384" s="15"/>
      <c r="N384" s="10">
        <f t="shared" si="58"/>
        <v>320000000</v>
      </c>
      <c r="O384" s="11">
        <f t="shared" si="59"/>
        <v>1</v>
      </c>
      <c r="P384" s="178"/>
      <c r="Q384" s="30"/>
      <c r="R384" s="106"/>
      <c r="T384" s="97"/>
      <c r="U384" s="56"/>
      <c r="V384" s="56"/>
      <c r="W384" s="56"/>
    </row>
    <row r="385" spans="1:23" s="55" customFormat="1" ht="15" x14ac:dyDescent="0.25">
      <c r="A385" s="172" t="s">
        <v>272</v>
      </c>
      <c r="B385" s="171">
        <v>5</v>
      </c>
      <c r="C385" s="444">
        <v>261115144</v>
      </c>
      <c r="D385" s="239">
        <v>0</v>
      </c>
      <c r="E385" s="239">
        <v>0</v>
      </c>
      <c r="F385" s="239">
        <v>0</v>
      </c>
      <c r="G385" s="239">
        <v>0</v>
      </c>
      <c r="H385" s="239">
        <v>0</v>
      </c>
      <c r="I385" s="239">
        <v>0</v>
      </c>
      <c r="J385" s="239">
        <v>0</v>
      </c>
      <c r="K385" s="240">
        <f t="shared" si="56"/>
        <v>0</v>
      </c>
      <c r="L385" s="240">
        <f t="shared" si="57"/>
        <v>261115144</v>
      </c>
      <c r="M385" s="15"/>
      <c r="N385" s="10">
        <f t="shared" si="58"/>
        <v>261115144</v>
      </c>
      <c r="O385" s="11">
        <f t="shared" si="59"/>
        <v>1</v>
      </c>
      <c r="P385" s="176"/>
      <c r="Q385" s="30"/>
      <c r="R385" s="106"/>
      <c r="T385" s="97"/>
      <c r="U385" s="56"/>
      <c r="V385" s="56"/>
      <c r="W385" s="56"/>
    </row>
    <row r="386" spans="1:23" x14ac:dyDescent="0.25">
      <c r="A386" s="881" t="s">
        <v>141</v>
      </c>
      <c r="B386" s="882"/>
      <c r="C386" s="213">
        <f>SUM(C341:C385)</f>
        <v>1435115077</v>
      </c>
      <c r="D386" s="213"/>
      <c r="E386" s="213"/>
      <c r="F386" s="213"/>
      <c r="G386" s="213"/>
      <c r="H386" s="213"/>
      <c r="I386" s="213"/>
      <c r="J386" s="213"/>
      <c r="K386" s="213">
        <f>SUM(K341:K385)</f>
        <v>0</v>
      </c>
      <c r="L386" s="213">
        <f>SUM(L341:L385)</f>
        <v>1435115077</v>
      </c>
      <c r="M386" s="43">
        <f>SUM(M341:M385)</f>
        <v>0</v>
      </c>
      <c r="N386" s="43">
        <f>SUM(N341:N385)</f>
        <v>1435115077</v>
      </c>
      <c r="O386" s="45">
        <f>N386/C386</f>
        <v>1</v>
      </c>
      <c r="P386" s="46"/>
      <c r="Q386" s="47"/>
      <c r="R386" s="107"/>
      <c r="T386" s="50"/>
      <c r="U386" s="50"/>
      <c r="V386" s="50"/>
      <c r="W386" s="50"/>
    </row>
    <row r="387" spans="1:23" x14ac:dyDescent="0.25">
      <c r="A387" s="845" t="s">
        <v>35</v>
      </c>
      <c r="B387" s="846"/>
      <c r="C387" s="846"/>
      <c r="D387" s="846"/>
      <c r="E387" s="846"/>
      <c r="F387" s="846"/>
      <c r="G387" s="846"/>
      <c r="H387" s="846"/>
      <c r="I387" s="846"/>
      <c r="J387" s="846"/>
      <c r="K387" s="846"/>
      <c r="L387" s="846"/>
      <c r="M387" s="846"/>
      <c r="N387" s="846"/>
      <c r="O387" s="846"/>
      <c r="P387" s="846"/>
      <c r="Q387" s="846"/>
      <c r="R387" s="847"/>
      <c r="T387" s="50"/>
      <c r="U387" s="50"/>
      <c r="V387" s="50"/>
      <c r="W387" s="50"/>
    </row>
    <row r="388" spans="1:23" x14ac:dyDescent="0.25">
      <c r="A388" s="21" t="s">
        <v>1</v>
      </c>
      <c r="B388" s="809" t="s">
        <v>63</v>
      </c>
      <c r="C388" s="809"/>
      <c r="D388" s="809"/>
      <c r="E388" s="809"/>
      <c r="F388" s="809"/>
      <c r="G388" s="809"/>
      <c r="H388" s="809"/>
      <c r="I388" s="809"/>
      <c r="J388" s="809"/>
      <c r="K388" s="809"/>
      <c r="L388" s="809"/>
      <c r="M388" s="809"/>
      <c r="N388" s="809"/>
      <c r="O388" s="809"/>
      <c r="P388" s="809"/>
      <c r="Q388" s="809"/>
      <c r="R388" s="810"/>
      <c r="T388" s="50"/>
      <c r="U388" s="50"/>
      <c r="V388" s="50"/>
      <c r="W388" s="50"/>
    </row>
    <row r="389" spans="1:23" x14ac:dyDescent="0.25">
      <c r="A389" s="21" t="s">
        <v>3</v>
      </c>
      <c r="B389" s="809" t="s">
        <v>36</v>
      </c>
      <c r="C389" s="809"/>
      <c r="D389" s="809"/>
      <c r="E389" s="809"/>
      <c r="F389" s="809"/>
      <c r="G389" s="809"/>
      <c r="H389" s="809"/>
      <c r="I389" s="809"/>
      <c r="J389" s="809"/>
      <c r="K389" s="809"/>
      <c r="L389" s="809"/>
      <c r="M389" s="809"/>
      <c r="N389" s="809"/>
      <c r="O389" s="809"/>
      <c r="P389" s="809"/>
      <c r="Q389" s="809"/>
      <c r="R389" s="810"/>
      <c r="T389" s="50"/>
      <c r="U389" s="50"/>
      <c r="V389" s="50"/>
      <c r="W389" s="50"/>
    </row>
    <row r="390" spans="1:23" x14ac:dyDescent="0.25">
      <c r="A390" s="21" t="s">
        <v>5</v>
      </c>
      <c r="B390" s="799" t="s">
        <v>324</v>
      </c>
      <c r="C390" s="799"/>
      <c r="D390" s="799"/>
      <c r="E390" s="799"/>
      <c r="F390" s="799"/>
      <c r="G390" s="799"/>
      <c r="H390" s="799"/>
      <c r="I390" s="799"/>
      <c r="J390" s="799"/>
      <c r="K390" s="799"/>
      <c r="L390" s="799"/>
      <c r="M390" s="799"/>
      <c r="N390" s="799"/>
      <c r="O390" s="799"/>
      <c r="P390" s="799"/>
      <c r="Q390" s="799"/>
      <c r="R390" s="800"/>
      <c r="T390" s="50"/>
      <c r="U390" s="50"/>
      <c r="V390" s="50"/>
      <c r="W390" s="50"/>
    </row>
    <row r="391" spans="1:23" x14ac:dyDescent="0.25">
      <c r="A391" s="21" t="s">
        <v>6</v>
      </c>
      <c r="B391" s="799" t="s">
        <v>37</v>
      </c>
      <c r="C391" s="799"/>
      <c r="D391" s="799"/>
      <c r="E391" s="799"/>
      <c r="F391" s="799"/>
      <c r="G391" s="799"/>
      <c r="H391" s="799"/>
      <c r="I391" s="799"/>
      <c r="J391" s="799"/>
      <c r="K391" s="799"/>
      <c r="L391" s="799"/>
      <c r="M391" s="799"/>
      <c r="N391" s="799"/>
      <c r="O391" s="799"/>
      <c r="P391" s="799"/>
      <c r="Q391" s="799"/>
      <c r="R391" s="800"/>
      <c r="T391" s="50"/>
      <c r="U391" s="50"/>
      <c r="V391" s="50"/>
      <c r="W391" s="50"/>
    </row>
    <row r="392" spans="1:23" x14ac:dyDescent="0.25">
      <c r="A392" s="21" t="s">
        <v>8</v>
      </c>
      <c r="B392" s="799" t="s">
        <v>38</v>
      </c>
      <c r="C392" s="799"/>
      <c r="D392" s="799"/>
      <c r="E392" s="799"/>
      <c r="F392" s="799"/>
      <c r="G392" s="799"/>
      <c r="H392" s="799"/>
      <c r="I392" s="799"/>
      <c r="J392" s="799"/>
      <c r="K392" s="799"/>
      <c r="L392" s="799"/>
      <c r="M392" s="799"/>
      <c r="N392" s="799"/>
      <c r="O392" s="799"/>
      <c r="P392" s="799"/>
      <c r="Q392" s="799"/>
      <c r="R392" s="800"/>
      <c r="T392" s="50"/>
      <c r="U392" s="50"/>
      <c r="V392" s="50"/>
      <c r="W392" s="50"/>
    </row>
    <row r="393" spans="1:23" ht="12.75" customHeight="1" x14ac:dyDescent="0.25">
      <c r="A393" s="825" t="s">
        <v>10</v>
      </c>
      <c r="B393" s="793" t="s">
        <v>11</v>
      </c>
      <c r="C393" s="813" t="s">
        <v>12</v>
      </c>
      <c r="D393" s="815" t="s">
        <v>361</v>
      </c>
      <c r="E393" s="816"/>
      <c r="F393" s="816"/>
      <c r="G393" s="816"/>
      <c r="H393" s="816"/>
      <c r="I393" s="816"/>
      <c r="J393" s="816"/>
      <c r="K393" s="816"/>
      <c r="L393" s="817"/>
      <c r="M393" s="818" t="s">
        <v>13</v>
      </c>
      <c r="N393" s="811" t="s">
        <v>14</v>
      </c>
      <c r="O393" s="793" t="s">
        <v>15</v>
      </c>
      <c r="P393" s="795" t="s">
        <v>16</v>
      </c>
      <c r="Q393" s="793" t="s">
        <v>17</v>
      </c>
      <c r="R393" s="797" t="s">
        <v>18</v>
      </c>
      <c r="T393" s="50"/>
      <c r="U393" s="50"/>
      <c r="V393" s="50"/>
      <c r="W393" s="50"/>
    </row>
    <row r="394" spans="1:23" ht="34.5" customHeight="1" x14ac:dyDescent="0.25">
      <c r="A394" s="826"/>
      <c r="B394" s="794"/>
      <c r="C394" s="814"/>
      <c r="D394" s="193" t="s">
        <v>366</v>
      </c>
      <c r="E394" s="193" t="s">
        <v>362</v>
      </c>
      <c r="F394" s="193" t="s">
        <v>355</v>
      </c>
      <c r="G394" s="193" t="s">
        <v>357</v>
      </c>
      <c r="H394" s="193" t="s">
        <v>352</v>
      </c>
      <c r="I394" s="193" t="s">
        <v>354</v>
      </c>
      <c r="J394" s="193" t="s">
        <v>353</v>
      </c>
      <c r="K394" s="193" t="s">
        <v>356</v>
      </c>
      <c r="L394" s="193" t="s">
        <v>359</v>
      </c>
      <c r="M394" s="819"/>
      <c r="N394" s="812"/>
      <c r="O394" s="794"/>
      <c r="P394" s="796"/>
      <c r="Q394" s="794"/>
      <c r="R394" s="798"/>
      <c r="T394" s="50"/>
      <c r="U394" s="50"/>
      <c r="V394" s="50"/>
      <c r="W394" s="50"/>
    </row>
    <row r="395" spans="1:23" ht="14.25" x14ac:dyDescent="0.25">
      <c r="A395" s="172" t="s">
        <v>272</v>
      </c>
      <c r="B395" s="8">
        <v>3</v>
      </c>
      <c r="C395" s="242">
        <v>169910862</v>
      </c>
      <c r="D395" s="239">
        <v>0</v>
      </c>
      <c r="E395" s="239">
        <v>0</v>
      </c>
      <c r="F395" s="239">
        <v>0</v>
      </c>
      <c r="G395" s="239">
        <v>0</v>
      </c>
      <c r="H395" s="239">
        <v>0</v>
      </c>
      <c r="I395" s="239">
        <v>0</v>
      </c>
      <c r="J395" s="239">
        <v>0</v>
      </c>
      <c r="K395" s="240">
        <f>J395+I395+H395+G395+F395+E395+D395</f>
        <v>0</v>
      </c>
      <c r="L395" s="240">
        <f>C395-K395</f>
        <v>169910862</v>
      </c>
      <c r="M395" s="15"/>
      <c r="N395" s="10">
        <f>C395-M395</f>
        <v>169910862</v>
      </c>
      <c r="O395" s="11">
        <f>N395/C395</f>
        <v>1</v>
      </c>
      <c r="P395" s="378"/>
      <c r="Q395" s="3"/>
      <c r="R395" s="103"/>
      <c r="T395" s="50"/>
      <c r="U395" s="50"/>
      <c r="V395" s="50"/>
      <c r="W395" s="50"/>
    </row>
    <row r="396" spans="1:23" x14ac:dyDescent="0.25">
      <c r="A396" s="881" t="s">
        <v>39</v>
      </c>
      <c r="B396" s="882"/>
      <c r="C396" s="213">
        <f>C395</f>
        <v>169910862</v>
      </c>
      <c r="D396" s="213"/>
      <c r="E396" s="213"/>
      <c r="F396" s="213"/>
      <c r="G396" s="213"/>
      <c r="H396" s="213"/>
      <c r="I396" s="213"/>
      <c r="J396" s="213"/>
      <c r="K396" s="213">
        <f>K395</f>
        <v>0</v>
      </c>
      <c r="L396" s="213">
        <f>L395</f>
        <v>169910862</v>
      </c>
      <c r="M396" s="43">
        <f>M395</f>
        <v>0</v>
      </c>
      <c r="N396" s="43">
        <f>N395</f>
        <v>169910862</v>
      </c>
      <c r="O396" s="45">
        <f>N396/C396</f>
        <v>1</v>
      </c>
      <c r="P396" s="46"/>
      <c r="Q396" s="47"/>
      <c r="R396" s="107"/>
      <c r="T396" s="50"/>
      <c r="U396" s="50"/>
      <c r="V396" s="50"/>
      <c r="W396" s="50"/>
    </row>
    <row r="397" spans="1:23" x14ac:dyDescent="0.25">
      <c r="A397" s="845" t="s">
        <v>40</v>
      </c>
      <c r="B397" s="846"/>
      <c r="C397" s="846"/>
      <c r="D397" s="846"/>
      <c r="E397" s="846"/>
      <c r="F397" s="846"/>
      <c r="G397" s="846"/>
      <c r="H397" s="846"/>
      <c r="I397" s="846"/>
      <c r="J397" s="846"/>
      <c r="K397" s="846"/>
      <c r="L397" s="846"/>
      <c r="M397" s="846"/>
      <c r="N397" s="846"/>
      <c r="O397" s="846"/>
      <c r="P397" s="846"/>
      <c r="Q397" s="846"/>
      <c r="R397" s="847"/>
      <c r="T397" s="50"/>
      <c r="U397" s="50"/>
      <c r="V397" s="50"/>
      <c r="W397" s="50"/>
    </row>
    <row r="398" spans="1:23" x14ac:dyDescent="0.25">
      <c r="A398" s="21" t="s">
        <v>1</v>
      </c>
      <c r="B398" s="809" t="s">
        <v>63</v>
      </c>
      <c r="C398" s="809"/>
      <c r="D398" s="809"/>
      <c r="E398" s="809"/>
      <c r="F398" s="809"/>
      <c r="G398" s="809"/>
      <c r="H398" s="809"/>
      <c r="I398" s="809"/>
      <c r="J398" s="809"/>
      <c r="K398" s="809"/>
      <c r="L398" s="809"/>
      <c r="M398" s="809"/>
      <c r="N398" s="809"/>
      <c r="O398" s="809"/>
      <c r="P398" s="809"/>
      <c r="Q398" s="809"/>
      <c r="R398" s="810"/>
      <c r="T398" s="50"/>
      <c r="U398" s="50"/>
      <c r="V398" s="50"/>
      <c r="W398" s="50"/>
    </row>
    <row r="399" spans="1:23" x14ac:dyDescent="0.25">
      <c r="A399" s="21" t="s">
        <v>3</v>
      </c>
      <c r="B399" s="809" t="s">
        <v>36</v>
      </c>
      <c r="C399" s="809"/>
      <c r="D399" s="809"/>
      <c r="E399" s="809"/>
      <c r="F399" s="809"/>
      <c r="G399" s="809"/>
      <c r="H399" s="809"/>
      <c r="I399" s="809"/>
      <c r="J399" s="809"/>
      <c r="K399" s="809"/>
      <c r="L399" s="809"/>
      <c r="M399" s="809"/>
      <c r="N399" s="809"/>
      <c r="O399" s="809"/>
      <c r="P399" s="809"/>
      <c r="Q399" s="809"/>
      <c r="R399" s="810"/>
      <c r="T399" s="50"/>
      <c r="U399" s="50"/>
      <c r="V399" s="50"/>
      <c r="W399" s="50"/>
    </row>
    <row r="400" spans="1:23" x14ac:dyDescent="0.25">
      <c r="A400" s="21" t="s">
        <v>5</v>
      </c>
      <c r="B400" s="799" t="s">
        <v>323</v>
      </c>
      <c r="C400" s="799"/>
      <c r="D400" s="799"/>
      <c r="E400" s="799"/>
      <c r="F400" s="799"/>
      <c r="G400" s="799"/>
      <c r="H400" s="799"/>
      <c r="I400" s="799"/>
      <c r="J400" s="799"/>
      <c r="K400" s="799"/>
      <c r="L400" s="799"/>
      <c r="M400" s="799"/>
      <c r="N400" s="799"/>
      <c r="O400" s="799"/>
      <c r="P400" s="799"/>
      <c r="Q400" s="799"/>
      <c r="R400" s="800"/>
      <c r="T400" s="50"/>
      <c r="U400" s="50"/>
      <c r="V400" s="50"/>
      <c r="W400" s="50"/>
    </row>
    <row r="401" spans="1:23" x14ac:dyDescent="0.25">
      <c r="A401" s="21" t="s">
        <v>6</v>
      </c>
      <c r="B401" s="799" t="s">
        <v>37</v>
      </c>
      <c r="C401" s="799"/>
      <c r="D401" s="799"/>
      <c r="E401" s="799"/>
      <c r="F401" s="799"/>
      <c r="G401" s="799"/>
      <c r="H401" s="799"/>
      <c r="I401" s="799"/>
      <c r="J401" s="799"/>
      <c r="K401" s="799"/>
      <c r="L401" s="799"/>
      <c r="M401" s="799"/>
      <c r="N401" s="799"/>
      <c r="O401" s="799"/>
      <c r="P401" s="799"/>
      <c r="Q401" s="799"/>
      <c r="R401" s="800"/>
      <c r="T401" s="50"/>
      <c r="U401" s="50"/>
      <c r="V401" s="50"/>
      <c r="W401" s="50"/>
    </row>
    <row r="402" spans="1:23" x14ac:dyDescent="0.25">
      <c r="A402" s="21" t="s">
        <v>8</v>
      </c>
      <c r="B402" s="799" t="s">
        <v>351</v>
      </c>
      <c r="C402" s="799"/>
      <c r="D402" s="799"/>
      <c r="E402" s="799"/>
      <c r="F402" s="799"/>
      <c r="G402" s="799"/>
      <c r="H402" s="799"/>
      <c r="I402" s="799"/>
      <c r="J402" s="799"/>
      <c r="K402" s="799"/>
      <c r="L402" s="799"/>
      <c r="M402" s="799"/>
      <c r="N402" s="799"/>
      <c r="O402" s="799"/>
      <c r="P402" s="799"/>
      <c r="Q402" s="799"/>
      <c r="R402" s="800"/>
      <c r="T402" s="50"/>
      <c r="U402" s="50"/>
      <c r="V402" s="50"/>
      <c r="W402" s="50"/>
    </row>
    <row r="403" spans="1:23" ht="12.75" customHeight="1" x14ac:dyDescent="0.25">
      <c r="A403" s="825" t="s">
        <v>10</v>
      </c>
      <c r="B403" s="793" t="s">
        <v>11</v>
      </c>
      <c r="C403" s="813" t="s">
        <v>12</v>
      </c>
      <c r="D403" s="815" t="s">
        <v>361</v>
      </c>
      <c r="E403" s="816"/>
      <c r="F403" s="816"/>
      <c r="G403" s="816"/>
      <c r="H403" s="816"/>
      <c r="I403" s="816"/>
      <c r="J403" s="816"/>
      <c r="K403" s="816"/>
      <c r="L403" s="817"/>
      <c r="M403" s="818" t="s">
        <v>13</v>
      </c>
      <c r="N403" s="811" t="s">
        <v>14</v>
      </c>
      <c r="O403" s="793" t="s">
        <v>15</v>
      </c>
      <c r="P403" s="795" t="s">
        <v>16</v>
      </c>
      <c r="Q403" s="793" t="s">
        <v>17</v>
      </c>
      <c r="R403" s="797" t="s">
        <v>18</v>
      </c>
      <c r="T403" s="50"/>
      <c r="U403" s="50"/>
      <c r="V403" s="50"/>
      <c r="W403" s="50"/>
    </row>
    <row r="404" spans="1:23" ht="29.25" customHeight="1" x14ac:dyDescent="0.25">
      <c r="A404" s="826"/>
      <c r="B404" s="794"/>
      <c r="C404" s="814"/>
      <c r="D404" s="193" t="s">
        <v>366</v>
      </c>
      <c r="E404" s="193" t="s">
        <v>362</v>
      </c>
      <c r="F404" s="193" t="s">
        <v>355</v>
      </c>
      <c r="G404" s="193" t="s">
        <v>357</v>
      </c>
      <c r="H404" s="193" t="s">
        <v>352</v>
      </c>
      <c r="I404" s="193" t="s">
        <v>354</v>
      </c>
      <c r="J404" s="193" t="s">
        <v>353</v>
      </c>
      <c r="K404" s="193" t="s">
        <v>356</v>
      </c>
      <c r="L404" s="193" t="s">
        <v>359</v>
      </c>
      <c r="M404" s="819"/>
      <c r="N404" s="812"/>
      <c r="O404" s="794"/>
      <c r="P404" s="796"/>
      <c r="Q404" s="794"/>
      <c r="R404" s="798"/>
      <c r="T404" s="50"/>
      <c r="U404" s="50"/>
      <c r="V404" s="50"/>
      <c r="W404" s="50"/>
    </row>
    <row r="405" spans="1:23" x14ac:dyDescent="0.25">
      <c r="A405" s="172" t="s">
        <v>272</v>
      </c>
      <c r="B405" s="8">
        <v>2</v>
      </c>
      <c r="C405" s="242">
        <v>116371667</v>
      </c>
      <c r="D405" s="239">
        <v>0</v>
      </c>
      <c r="E405" s="239">
        <v>0</v>
      </c>
      <c r="F405" s="239">
        <v>0</v>
      </c>
      <c r="G405" s="239">
        <v>0</v>
      </c>
      <c r="H405" s="239">
        <v>0</v>
      </c>
      <c r="I405" s="239">
        <v>0</v>
      </c>
      <c r="J405" s="239">
        <v>0</v>
      </c>
      <c r="K405" s="240">
        <f>J405+I405+H405+G405+F405+E405+D405</f>
        <v>0</v>
      </c>
      <c r="L405" s="240">
        <f>C405-K405</f>
        <v>116371667</v>
      </c>
      <c r="M405" s="15"/>
      <c r="N405" s="10">
        <f>C405-M405</f>
        <v>116371667</v>
      </c>
      <c r="O405" s="11">
        <f>N405/C405</f>
        <v>1</v>
      </c>
      <c r="P405" s="294"/>
      <c r="Q405" s="3"/>
      <c r="R405" s="103"/>
      <c r="T405" s="50"/>
      <c r="U405" s="50"/>
      <c r="V405" s="50"/>
      <c r="W405" s="50"/>
    </row>
    <row r="406" spans="1:23" x14ac:dyDescent="0.25">
      <c r="A406" s="881" t="s">
        <v>41</v>
      </c>
      <c r="B406" s="882"/>
      <c r="C406" s="213">
        <f>C405</f>
        <v>116371667</v>
      </c>
      <c r="D406" s="213"/>
      <c r="E406" s="213"/>
      <c r="F406" s="213"/>
      <c r="G406" s="213"/>
      <c r="H406" s="213"/>
      <c r="I406" s="213"/>
      <c r="J406" s="213"/>
      <c r="K406" s="213">
        <f>K405</f>
        <v>0</v>
      </c>
      <c r="L406" s="213">
        <f>L405</f>
        <v>116371667</v>
      </c>
      <c r="M406" s="43">
        <f>M405</f>
        <v>0</v>
      </c>
      <c r="N406" s="43">
        <f>N405</f>
        <v>116371667</v>
      </c>
      <c r="O406" s="45">
        <f>N406/C406</f>
        <v>1</v>
      </c>
      <c r="P406" s="46"/>
      <c r="Q406" s="47"/>
      <c r="R406" s="107"/>
      <c r="T406" s="50"/>
      <c r="U406" s="50"/>
      <c r="V406" s="50"/>
      <c r="W406" s="50"/>
    </row>
    <row r="407" spans="1:23" x14ac:dyDescent="0.25">
      <c r="A407" s="836" t="s">
        <v>142</v>
      </c>
      <c r="B407" s="837"/>
      <c r="C407" s="837"/>
      <c r="D407" s="837"/>
      <c r="E407" s="837"/>
      <c r="F407" s="837"/>
      <c r="G407" s="837"/>
      <c r="H407" s="837"/>
      <c r="I407" s="837"/>
      <c r="J407" s="837"/>
      <c r="K407" s="837"/>
      <c r="L407" s="837"/>
      <c r="M407" s="837"/>
      <c r="N407" s="837"/>
      <c r="O407" s="837"/>
      <c r="P407" s="837"/>
      <c r="Q407" s="837"/>
      <c r="R407" s="838"/>
      <c r="T407" s="50"/>
      <c r="U407" s="50"/>
      <c r="V407" s="50"/>
      <c r="W407" s="50"/>
    </row>
    <row r="408" spans="1:23" x14ac:dyDescent="0.25">
      <c r="A408" s="21" t="s">
        <v>62</v>
      </c>
      <c r="B408" s="809" t="s">
        <v>63</v>
      </c>
      <c r="C408" s="809"/>
      <c r="D408" s="809"/>
      <c r="E408" s="809"/>
      <c r="F408" s="809"/>
      <c r="G408" s="809"/>
      <c r="H408" s="809"/>
      <c r="I408" s="809"/>
      <c r="J408" s="809"/>
      <c r="K408" s="809"/>
      <c r="L408" s="809"/>
      <c r="M408" s="809"/>
      <c r="N408" s="809"/>
      <c r="O408" s="809"/>
      <c r="P408" s="809"/>
      <c r="Q408" s="809"/>
      <c r="R408" s="810"/>
      <c r="T408" s="50"/>
      <c r="U408" s="50"/>
      <c r="V408" s="50"/>
      <c r="W408" s="50"/>
    </row>
    <row r="409" spans="1:23" x14ac:dyDescent="0.25">
      <c r="A409" s="21" t="s">
        <v>3</v>
      </c>
      <c r="B409" s="809" t="s">
        <v>124</v>
      </c>
      <c r="C409" s="809"/>
      <c r="D409" s="809"/>
      <c r="E409" s="809"/>
      <c r="F409" s="809"/>
      <c r="G409" s="809"/>
      <c r="H409" s="809"/>
      <c r="I409" s="809"/>
      <c r="J409" s="809"/>
      <c r="K409" s="809"/>
      <c r="L409" s="809"/>
      <c r="M409" s="809"/>
      <c r="N409" s="809"/>
      <c r="O409" s="809"/>
      <c r="P409" s="809"/>
      <c r="Q409" s="809"/>
      <c r="R409" s="810"/>
      <c r="T409" s="50"/>
      <c r="U409" s="50"/>
      <c r="V409" s="50"/>
      <c r="W409" s="50"/>
    </row>
    <row r="410" spans="1:23" x14ac:dyDescent="0.25">
      <c r="A410" s="21" t="s">
        <v>5</v>
      </c>
      <c r="B410" s="799" t="s">
        <v>143</v>
      </c>
      <c r="C410" s="799"/>
      <c r="D410" s="799"/>
      <c r="E410" s="799"/>
      <c r="F410" s="799"/>
      <c r="G410" s="799"/>
      <c r="H410" s="799"/>
      <c r="I410" s="799"/>
      <c r="J410" s="799"/>
      <c r="K410" s="799"/>
      <c r="L410" s="799"/>
      <c r="M410" s="799"/>
      <c r="N410" s="799"/>
      <c r="O410" s="799"/>
      <c r="P410" s="799"/>
      <c r="Q410" s="799"/>
      <c r="R410" s="800"/>
      <c r="T410" s="50"/>
      <c r="U410" s="50"/>
      <c r="V410" s="50"/>
      <c r="W410" s="50"/>
    </row>
    <row r="411" spans="1:23" x14ac:dyDescent="0.25">
      <c r="A411" s="21" t="s">
        <v>6</v>
      </c>
      <c r="B411" s="799" t="s">
        <v>144</v>
      </c>
      <c r="C411" s="799"/>
      <c r="D411" s="799"/>
      <c r="E411" s="799"/>
      <c r="F411" s="799"/>
      <c r="G411" s="799"/>
      <c r="H411" s="799"/>
      <c r="I411" s="799"/>
      <c r="J411" s="799"/>
      <c r="K411" s="799"/>
      <c r="L411" s="799"/>
      <c r="M411" s="799"/>
      <c r="N411" s="799"/>
      <c r="O411" s="799"/>
      <c r="P411" s="799"/>
      <c r="Q411" s="799"/>
      <c r="R411" s="800"/>
    </row>
    <row r="412" spans="1:23" x14ac:dyDescent="0.25">
      <c r="A412" s="21" t="s">
        <v>8</v>
      </c>
      <c r="B412" s="799" t="s">
        <v>145</v>
      </c>
      <c r="C412" s="799"/>
      <c r="D412" s="799"/>
      <c r="E412" s="799"/>
      <c r="F412" s="799"/>
      <c r="G412" s="799"/>
      <c r="H412" s="799"/>
      <c r="I412" s="799"/>
      <c r="J412" s="799"/>
      <c r="K412" s="799"/>
      <c r="L412" s="799"/>
      <c r="M412" s="799"/>
      <c r="N412" s="799"/>
      <c r="O412" s="799"/>
      <c r="P412" s="799"/>
      <c r="Q412" s="799"/>
      <c r="R412" s="800"/>
    </row>
    <row r="413" spans="1:23" ht="12.75" customHeight="1" x14ac:dyDescent="0.25">
      <c r="A413" s="825" t="s">
        <v>10</v>
      </c>
      <c r="B413" s="793" t="s">
        <v>11</v>
      </c>
      <c r="C413" s="813" t="s">
        <v>12</v>
      </c>
      <c r="D413" s="815" t="s">
        <v>361</v>
      </c>
      <c r="E413" s="816"/>
      <c r="F413" s="816"/>
      <c r="G413" s="816"/>
      <c r="H413" s="816"/>
      <c r="I413" s="816"/>
      <c r="J413" s="816"/>
      <c r="K413" s="816"/>
      <c r="L413" s="817"/>
      <c r="M413" s="818" t="s">
        <v>13</v>
      </c>
      <c r="N413" s="811" t="s">
        <v>14</v>
      </c>
      <c r="O413" s="793" t="s">
        <v>15</v>
      </c>
      <c r="P413" s="795" t="s">
        <v>16</v>
      </c>
      <c r="Q413" s="793" t="s">
        <v>17</v>
      </c>
      <c r="R413" s="797" t="s">
        <v>18</v>
      </c>
    </row>
    <row r="414" spans="1:23" ht="27.75" customHeight="1" x14ac:dyDescent="0.25">
      <c r="A414" s="826"/>
      <c r="B414" s="794"/>
      <c r="C414" s="814"/>
      <c r="D414" s="193" t="s">
        <v>366</v>
      </c>
      <c r="E414" s="193" t="s">
        <v>362</v>
      </c>
      <c r="F414" s="193" t="s">
        <v>355</v>
      </c>
      <c r="G414" s="193" t="s">
        <v>357</v>
      </c>
      <c r="H414" s="193" t="s">
        <v>352</v>
      </c>
      <c r="I414" s="193" t="s">
        <v>354</v>
      </c>
      <c r="J414" s="193" t="s">
        <v>353</v>
      </c>
      <c r="K414" s="193" t="s">
        <v>356</v>
      </c>
      <c r="L414" s="193" t="s">
        <v>359</v>
      </c>
      <c r="M414" s="819"/>
      <c r="N414" s="812"/>
      <c r="O414" s="794"/>
      <c r="P414" s="796"/>
      <c r="Q414" s="794"/>
      <c r="R414" s="798"/>
    </row>
    <row r="415" spans="1:23" s="55" customFormat="1" ht="37.5" customHeight="1" x14ac:dyDescent="0.25">
      <c r="A415" s="30" t="s">
        <v>563</v>
      </c>
      <c r="B415" s="34">
        <v>1</v>
      </c>
      <c r="C415" s="184">
        <v>9000000</v>
      </c>
      <c r="D415" s="239">
        <v>0</v>
      </c>
      <c r="E415" s="239">
        <v>0</v>
      </c>
      <c r="F415" s="239">
        <v>0</v>
      </c>
      <c r="G415" s="239">
        <v>0</v>
      </c>
      <c r="H415" s="239">
        <v>0</v>
      </c>
      <c r="I415" s="239">
        <v>0</v>
      </c>
      <c r="J415" s="239">
        <v>0</v>
      </c>
      <c r="K415" s="240">
        <f>J415+I415+H415+G415+F415+E415+D415</f>
        <v>0</v>
      </c>
      <c r="L415" s="240">
        <f>C415-K415</f>
        <v>9000000</v>
      </c>
      <c r="M415" s="15"/>
      <c r="N415" s="10">
        <f>C415-M415</f>
        <v>9000000</v>
      </c>
      <c r="O415" s="11">
        <f>N415/C415</f>
        <v>1</v>
      </c>
      <c r="P415" s="37"/>
      <c r="Q415" s="38"/>
      <c r="R415" s="109"/>
      <c r="T415" s="56"/>
      <c r="U415" s="56"/>
      <c r="V415" s="56"/>
      <c r="W415" s="56"/>
    </row>
    <row r="416" spans="1:23" s="55" customFormat="1" ht="37.5" customHeight="1" x14ac:dyDescent="0.25">
      <c r="A416" s="447" t="s">
        <v>328</v>
      </c>
      <c r="B416" s="34" t="s">
        <v>331</v>
      </c>
      <c r="C416" s="184">
        <v>30000000</v>
      </c>
      <c r="D416" s="239">
        <v>0</v>
      </c>
      <c r="E416" s="239">
        <v>0</v>
      </c>
      <c r="F416" s="239">
        <v>0</v>
      </c>
      <c r="G416" s="239">
        <v>0</v>
      </c>
      <c r="H416" s="239">
        <v>0</v>
      </c>
      <c r="I416" s="239">
        <v>0</v>
      </c>
      <c r="J416" s="239">
        <v>0</v>
      </c>
      <c r="K416" s="240">
        <f>J416+I416+H416+G416+F416+E416+D416</f>
        <v>0</v>
      </c>
      <c r="L416" s="240">
        <f>C416-K416</f>
        <v>30000000</v>
      </c>
      <c r="M416" s="15"/>
      <c r="N416" s="10">
        <f>C416-M416</f>
        <v>30000000</v>
      </c>
      <c r="O416" s="11">
        <f>N416/C416</f>
        <v>1</v>
      </c>
      <c r="P416" s="37"/>
      <c r="Q416" s="38"/>
      <c r="R416" s="109"/>
      <c r="T416" s="56"/>
      <c r="U416" s="56"/>
      <c r="V416" s="56"/>
      <c r="W416" s="56"/>
    </row>
    <row r="417" spans="1:23" s="55" customFormat="1" ht="33.75" customHeight="1" x14ac:dyDescent="0.25">
      <c r="A417" s="447" t="s">
        <v>329</v>
      </c>
      <c r="B417" s="34">
        <v>1</v>
      </c>
      <c r="C417" s="184">
        <v>35000000</v>
      </c>
      <c r="D417" s="239">
        <v>0</v>
      </c>
      <c r="E417" s="239">
        <v>0</v>
      </c>
      <c r="F417" s="239">
        <v>0</v>
      </c>
      <c r="G417" s="239">
        <v>0</v>
      </c>
      <c r="H417" s="239">
        <v>0</v>
      </c>
      <c r="I417" s="239">
        <v>0</v>
      </c>
      <c r="J417" s="239">
        <v>0</v>
      </c>
      <c r="K417" s="240">
        <f>J417+I417+H417+G417+F417+E417+D417</f>
        <v>0</v>
      </c>
      <c r="L417" s="240">
        <f>C417-K417</f>
        <v>35000000</v>
      </c>
      <c r="M417" s="15"/>
      <c r="N417" s="10">
        <f>C417-M417</f>
        <v>35000000</v>
      </c>
      <c r="O417" s="11">
        <f>N417/C417</f>
        <v>1</v>
      </c>
      <c r="P417" s="37"/>
      <c r="Q417" s="38"/>
      <c r="R417" s="109"/>
      <c r="T417" s="56"/>
      <c r="U417" s="56"/>
      <c r="V417" s="56"/>
      <c r="W417" s="56"/>
    </row>
    <row r="418" spans="1:23" s="55" customFormat="1" ht="42.75" customHeight="1" x14ac:dyDescent="0.25">
      <c r="A418" s="13" t="s">
        <v>564</v>
      </c>
      <c r="B418" s="34">
        <v>1</v>
      </c>
      <c r="C418" s="184">
        <v>3900000</v>
      </c>
      <c r="D418" s="239">
        <v>0</v>
      </c>
      <c r="E418" s="239">
        <v>0</v>
      </c>
      <c r="F418" s="239">
        <v>0</v>
      </c>
      <c r="G418" s="239">
        <v>0</v>
      </c>
      <c r="H418" s="239">
        <v>0</v>
      </c>
      <c r="I418" s="239">
        <v>0</v>
      </c>
      <c r="J418" s="239">
        <v>0</v>
      </c>
      <c r="K418" s="240">
        <f>J418+I418+H418+G418+F418+E418+D418</f>
        <v>0</v>
      </c>
      <c r="L418" s="240">
        <f>C418-K418</f>
        <v>3900000</v>
      </c>
      <c r="M418" s="15"/>
      <c r="N418" s="10">
        <f>C418-M418</f>
        <v>3900000</v>
      </c>
      <c r="O418" s="11">
        <f>N418/C418</f>
        <v>1</v>
      </c>
      <c r="P418" s="37"/>
      <c r="Q418" s="38"/>
      <c r="R418" s="109"/>
      <c r="T418" s="56"/>
      <c r="U418" s="56"/>
      <c r="V418" s="56"/>
      <c r="W418" s="56"/>
    </row>
    <row r="419" spans="1:23" x14ac:dyDescent="0.25">
      <c r="A419" s="834" t="s">
        <v>146</v>
      </c>
      <c r="B419" s="835"/>
      <c r="C419" s="217">
        <f>SUM(C415:C418)</f>
        <v>77900000</v>
      </c>
      <c r="D419" s="217"/>
      <c r="E419" s="217"/>
      <c r="F419" s="217"/>
      <c r="G419" s="217"/>
      <c r="H419" s="217"/>
      <c r="I419" s="217"/>
      <c r="J419" s="217"/>
      <c r="K419" s="217">
        <f>SUM(K415:K418)</f>
        <v>0</v>
      </c>
      <c r="L419" s="217">
        <f>SUM(L415:L418)</f>
        <v>77900000</v>
      </c>
      <c r="M419" s="51">
        <f>SUM(M415:M418)</f>
        <v>0</v>
      </c>
      <c r="N419" s="51">
        <f>SUM(N415:N418)</f>
        <v>77900000</v>
      </c>
      <c r="O419" s="52">
        <f>N419/C419</f>
        <v>1</v>
      </c>
      <c r="P419" s="53"/>
      <c r="Q419" s="54"/>
      <c r="R419" s="108"/>
    </row>
    <row r="420" spans="1:23" x14ac:dyDescent="0.25">
      <c r="A420" s="21" t="s">
        <v>62</v>
      </c>
      <c r="B420" s="839" t="s">
        <v>63</v>
      </c>
      <c r="C420" s="840"/>
      <c r="D420" s="840"/>
      <c r="E420" s="840"/>
      <c r="F420" s="840"/>
      <c r="G420" s="840"/>
      <c r="H420" s="840"/>
      <c r="I420" s="840"/>
      <c r="J420" s="840"/>
      <c r="K420" s="840"/>
      <c r="L420" s="840"/>
      <c r="M420" s="840"/>
      <c r="N420" s="840"/>
      <c r="O420" s="840"/>
      <c r="P420" s="840"/>
      <c r="Q420" s="840"/>
      <c r="R420" s="841"/>
      <c r="T420" s="50"/>
      <c r="U420" s="50"/>
      <c r="V420" s="50"/>
      <c r="W420" s="50"/>
    </row>
    <row r="421" spans="1:23" x14ac:dyDescent="0.25">
      <c r="A421" s="21" t="s">
        <v>3</v>
      </c>
      <c r="B421" s="839" t="s">
        <v>124</v>
      </c>
      <c r="C421" s="840"/>
      <c r="D421" s="840"/>
      <c r="E421" s="840"/>
      <c r="F421" s="840"/>
      <c r="G421" s="840"/>
      <c r="H421" s="840"/>
      <c r="I421" s="840"/>
      <c r="J421" s="840"/>
      <c r="K421" s="840"/>
      <c r="L421" s="840"/>
      <c r="M421" s="840"/>
      <c r="N421" s="840"/>
      <c r="O421" s="840"/>
      <c r="P421" s="840"/>
      <c r="Q421" s="840"/>
      <c r="R421" s="841"/>
      <c r="T421" s="50"/>
      <c r="U421" s="50"/>
      <c r="V421" s="50"/>
      <c r="W421" s="50"/>
    </row>
    <row r="422" spans="1:23" x14ac:dyDescent="0.25">
      <c r="A422" s="21" t="s">
        <v>5</v>
      </c>
      <c r="B422" s="842" t="s">
        <v>147</v>
      </c>
      <c r="C422" s="843"/>
      <c r="D422" s="843"/>
      <c r="E422" s="843"/>
      <c r="F422" s="843"/>
      <c r="G422" s="843"/>
      <c r="H422" s="843"/>
      <c r="I422" s="843"/>
      <c r="J422" s="843"/>
      <c r="K422" s="843"/>
      <c r="L422" s="843"/>
      <c r="M422" s="843"/>
      <c r="N422" s="843"/>
      <c r="O422" s="843"/>
      <c r="P422" s="843"/>
      <c r="Q422" s="843"/>
      <c r="R422" s="844"/>
      <c r="T422" s="50"/>
      <c r="U422" s="50"/>
      <c r="V422" s="50"/>
      <c r="W422" s="50"/>
    </row>
    <row r="423" spans="1:23" x14ac:dyDescent="0.25">
      <c r="A423" s="21" t="s">
        <v>6</v>
      </c>
      <c r="B423" s="842" t="s">
        <v>144</v>
      </c>
      <c r="C423" s="843"/>
      <c r="D423" s="843"/>
      <c r="E423" s="843"/>
      <c r="F423" s="843"/>
      <c r="G423" s="843"/>
      <c r="H423" s="843"/>
      <c r="I423" s="843"/>
      <c r="J423" s="843"/>
      <c r="K423" s="843"/>
      <c r="L423" s="843"/>
      <c r="M423" s="843"/>
      <c r="N423" s="843"/>
      <c r="O423" s="843"/>
      <c r="P423" s="843"/>
      <c r="Q423" s="843"/>
      <c r="R423" s="844"/>
      <c r="T423" s="50"/>
      <c r="U423" s="50"/>
      <c r="V423" s="50"/>
      <c r="W423" s="50"/>
    </row>
    <row r="424" spans="1:23" x14ac:dyDescent="0.25">
      <c r="A424" s="21" t="s">
        <v>8</v>
      </c>
      <c r="B424" s="842" t="s">
        <v>145</v>
      </c>
      <c r="C424" s="843"/>
      <c r="D424" s="843"/>
      <c r="E424" s="843"/>
      <c r="F424" s="843"/>
      <c r="G424" s="843"/>
      <c r="H424" s="843"/>
      <c r="I424" s="843"/>
      <c r="J424" s="843"/>
      <c r="K424" s="843"/>
      <c r="L424" s="843"/>
      <c r="M424" s="843"/>
      <c r="N424" s="843"/>
      <c r="O424" s="843"/>
      <c r="P424" s="843"/>
      <c r="Q424" s="843"/>
      <c r="R424" s="844"/>
      <c r="T424" s="50"/>
      <c r="U424" s="50"/>
      <c r="V424" s="50"/>
      <c r="W424" s="50"/>
    </row>
    <row r="425" spans="1:23" ht="12.75" customHeight="1" x14ac:dyDescent="0.25">
      <c r="A425" s="825" t="s">
        <v>10</v>
      </c>
      <c r="B425" s="793" t="s">
        <v>11</v>
      </c>
      <c r="C425" s="813" t="s">
        <v>12</v>
      </c>
      <c r="D425" s="815" t="s">
        <v>361</v>
      </c>
      <c r="E425" s="816"/>
      <c r="F425" s="816"/>
      <c r="G425" s="816"/>
      <c r="H425" s="816"/>
      <c r="I425" s="816"/>
      <c r="J425" s="816"/>
      <c r="K425" s="816"/>
      <c r="L425" s="817"/>
      <c r="M425" s="818" t="s">
        <v>13</v>
      </c>
      <c r="N425" s="811" t="s">
        <v>14</v>
      </c>
      <c r="O425" s="793" t="s">
        <v>15</v>
      </c>
      <c r="P425" s="795" t="s">
        <v>16</v>
      </c>
      <c r="Q425" s="793" t="s">
        <v>17</v>
      </c>
      <c r="R425" s="797" t="s">
        <v>18</v>
      </c>
      <c r="T425" s="50"/>
      <c r="U425" s="50"/>
      <c r="V425" s="50"/>
      <c r="W425" s="50"/>
    </row>
    <row r="426" spans="1:23" ht="29.25" customHeight="1" x14ac:dyDescent="0.25">
      <c r="A426" s="826"/>
      <c r="B426" s="794"/>
      <c r="C426" s="814"/>
      <c r="D426" s="193" t="s">
        <v>366</v>
      </c>
      <c r="E426" s="193" t="s">
        <v>362</v>
      </c>
      <c r="F426" s="193" t="s">
        <v>355</v>
      </c>
      <c r="G426" s="193" t="s">
        <v>357</v>
      </c>
      <c r="H426" s="193" t="s">
        <v>352</v>
      </c>
      <c r="I426" s="193" t="s">
        <v>354</v>
      </c>
      <c r="J426" s="193" t="s">
        <v>353</v>
      </c>
      <c r="K426" s="193" t="s">
        <v>356</v>
      </c>
      <c r="L426" s="193" t="s">
        <v>359</v>
      </c>
      <c r="M426" s="819"/>
      <c r="N426" s="812"/>
      <c r="O426" s="794"/>
      <c r="P426" s="796"/>
      <c r="Q426" s="794"/>
      <c r="R426" s="798"/>
      <c r="T426" s="50"/>
      <c r="U426" s="50"/>
      <c r="V426" s="50"/>
      <c r="W426" s="50"/>
    </row>
    <row r="427" spans="1:23" x14ac:dyDescent="0.25">
      <c r="A427" s="249" t="s">
        <v>148</v>
      </c>
      <c r="B427" s="250"/>
      <c r="C427" s="250"/>
      <c r="D427" s="250"/>
      <c r="E427" s="250"/>
      <c r="F427" s="250"/>
      <c r="G427" s="250"/>
      <c r="H427" s="250"/>
      <c r="I427" s="250"/>
      <c r="J427" s="250"/>
      <c r="K427" s="250"/>
      <c r="L427" s="250"/>
      <c r="M427" s="250"/>
      <c r="N427" s="250"/>
      <c r="O427" s="250"/>
      <c r="P427" s="250"/>
      <c r="Q427" s="250"/>
      <c r="R427" s="251"/>
      <c r="T427" s="50"/>
      <c r="U427" s="50"/>
      <c r="V427" s="50"/>
      <c r="W427" s="50"/>
    </row>
    <row r="428" spans="1:23" ht="36" customHeight="1" x14ac:dyDescent="0.25">
      <c r="A428" s="448" t="s">
        <v>149</v>
      </c>
      <c r="B428" s="34" t="s">
        <v>331</v>
      </c>
      <c r="C428" s="184">
        <v>20000000</v>
      </c>
      <c r="D428" s="239">
        <v>0</v>
      </c>
      <c r="E428" s="239">
        <v>0</v>
      </c>
      <c r="F428" s="239">
        <v>0</v>
      </c>
      <c r="G428" s="239">
        <v>0</v>
      </c>
      <c r="H428" s="239">
        <v>0</v>
      </c>
      <c r="I428" s="239">
        <v>0</v>
      </c>
      <c r="J428" s="239">
        <v>0</v>
      </c>
      <c r="K428" s="240">
        <f>J428+I428+H428+G428+F428+E428+D428</f>
        <v>0</v>
      </c>
      <c r="L428" s="240">
        <f>C428-K428</f>
        <v>20000000</v>
      </c>
      <c r="M428" s="15"/>
      <c r="N428" s="10">
        <f>C428-M428</f>
        <v>20000000</v>
      </c>
      <c r="O428" s="11">
        <f>N428/C428</f>
        <v>1</v>
      </c>
      <c r="P428" s="12"/>
      <c r="Q428" s="13"/>
      <c r="R428" s="104"/>
      <c r="T428" s="50"/>
      <c r="U428" s="50"/>
      <c r="V428" s="50"/>
      <c r="W428" s="50"/>
    </row>
    <row r="429" spans="1:23" ht="36" customHeight="1" x14ac:dyDescent="0.25">
      <c r="A429" s="448" t="s">
        <v>150</v>
      </c>
      <c r="B429" s="34">
        <v>100</v>
      </c>
      <c r="C429" s="184">
        <v>877803</v>
      </c>
      <c r="D429" s="239">
        <v>0</v>
      </c>
      <c r="E429" s="239">
        <v>0</v>
      </c>
      <c r="F429" s="239">
        <v>0</v>
      </c>
      <c r="G429" s="239">
        <v>0</v>
      </c>
      <c r="H429" s="239">
        <v>0</v>
      </c>
      <c r="I429" s="239">
        <v>0</v>
      </c>
      <c r="J429" s="239">
        <v>0</v>
      </c>
      <c r="K429" s="240">
        <f>J429+I429+H429+G429+F429+E429+D429</f>
        <v>0</v>
      </c>
      <c r="L429" s="240">
        <f>C429-K429</f>
        <v>877803</v>
      </c>
      <c r="M429" s="15"/>
      <c r="N429" s="10">
        <f>C429-M429</f>
        <v>877803</v>
      </c>
      <c r="O429" s="11">
        <f>N429/C429</f>
        <v>1</v>
      </c>
      <c r="P429" s="12"/>
      <c r="Q429" s="13"/>
      <c r="R429" s="104"/>
      <c r="T429" s="50"/>
      <c r="U429" s="50"/>
      <c r="V429" s="50"/>
      <c r="W429" s="50"/>
    </row>
    <row r="430" spans="1:23" ht="36" customHeight="1" x14ac:dyDescent="0.25">
      <c r="A430" s="448" t="s">
        <v>151</v>
      </c>
      <c r="B430" s="34" t="s">
        <v>331</v>
      </c>
      <c r="C430" s="184">
        <v>613320000</v>
      </c>
      <c r="D430" s="239">
        <v>0</v>
      </c>
      <c r="E430" s="239">
        <v>0</v>
      </c>
      <c r="F430" s="239">
        <v>0</v>
      </c>
      <c r="G430" s="239">
        <v>0</v>
      </c>
      <c r="H430" s="239">
        <v>0</v>
      </c>
      <c r="I430" s="239">
        <v>0</v>
      </c>
      <c r="J430" s="239">
        <v>0</v>
      </c>
      <c r="K430" s="240">
        <f>J430+I430+H430+G430+F430+E430+D430</f>
        <v>0</v>
      </c>
      <c r="L430" s="240">
        <f>C430-K430</f>
        <v>613320000</v>
      </c>
      <c r="M430" s="15"/>
      <c r="N430" s="10">
        <f>C430-M430</f>
        <v>613320000</v>
      </c>
      <c r="O430" s="11">
        <f>N430/C430</f>
        <v>1</v>
      </c>
      <c r="P430" s="12"/>
      <c r="Q430" s="13"/>
      <c r="R430" s="104"/>
      <c r="T430" s="50"/>
      <c r="U430" s="50"/>
      <c r="V430" s="50"/>
      <c r="W430" s="50"/>
    </row>
    <row r="431" spans="1:23" ht="36" customHeight="1" x14ac:dyDescent="0.25">
      <c r="A431" s="448" t="s">
        <v>565</v>
      </c>
      <c r="B431" s="34">
        <v>1</v>
      </c>
      <c r="C431" s="184">
        <v>9000000</v>
      </c>
      <c r="D431" s="239">
        <v>0</v>
      </c>
      <c r="E431" s="239">
        <v>0</v>
      </c>
      <c r="F431" s="239">
        <v>0</v>
      </c>
      <c r="G431" s="239">
        <v>0</v>
      </c>
      <c r="H431" s="239">
        <v>0</v>
      </c>
      <c r="I431" s="239">
        <v>0</v>
      </c>
      <c r="J431" s="239">
        <v>0</v>
      </c>
      <c r="K431" s="240">
        <f>J431+I431+H431+G431+F431+E431+D431</f>
        <v>0</v>
      </c>
      <c r="L431" s="240">
        <f>C431-K431</f>
        <v>9000000</v>
      </c>
      <c r="M431" s="15"/>
      <c r="N431" s="10">
        <f>C431-M431</f>
        <v>9000000</v>
      </c>
      <c r="O431" s="11">
        <f>N431/C431</f>
        <v>1</v>
      </c>
      <c r="P431" s="12"/>
      <c r="Q431" s="13"/>
      <c r="R431" s="104"/>
      <c r="T431" s="50"/>
      <c r="U431" s="50"/>
      <c r="V431" s="50"/>
      <c r="W431" s="50"/>
    </row>
    <row r="432" spans="1:23" ht="36" customHeight="1" x14ac:dyDescent="0.25">
      <c r="A432" s="252" t="s">
        <v>152</v>
      </c>
      <c r="B432" s="253"/>
      <c r="C432" s="253"/>
      <c r="D432" s="253"/>
      <c r="E432" s="253"/>
      <c r="F432" s="253"/>
      <c r="G432" s="253"/>
      <c r="H432" s="253"/>
      <c r="I432" s="253"/>
      <c r="J432" s="253"/>
      <c r="K432" s="253"/>
      <c r="L432" s="253"/>
      <c r="M432" s="253"/>
      <c r="N432" s="253"/>
      <c r="O432" s="253"/>
      <c r="P432" s="253"/>
      <c r="Q432" s="253"/>
      <c r="R432" s="254"/>
      <c r="T432" s="50"/>
      <c r="U432" s="50"/>
      <c r="V432" s="50"/>
      <c r="W432" s="50"/>
    </row>
    <row r="433" spans="1:23" ht="36" customHeight="1" x14ac:dyDescent="0.25">
      <c r="A433" s="30" t="s">
        <v>332</v>
      </c>
      <c r="B433" s="34">
        <v>2</v>
      </c>
      <c r="C433" s="184">
        <v>15000000</v>
      </c>
      <c r="D433" s="239">
        <v>0</v>
      </c>
      <c r="E433" s="239">
        <v>0</v>
      </c>
      <c r="F433" s="239">
        <v>0</v>
      </c>
      <c r="G433" s="239">
        <v>0</v>
      </c>
      <c r="H433" s="239">
        <v>0</v>
      </c>
      <c r="I433" s="239">
        <v>0</v>
      </c>
      <c r="J433" s="239">
        <v>0</v>
      </c>
      <c r="K433" s="240">
        <f t="shared" ref="K433:K439" si="60">J433+I433+H433+G433+F433+E433+D433</f>
        <v>0</v>
      </c>
      <c r="L433" s="240">
        <f t="shared" ref="L433:L439" si="61">C433-K433</f>
        <v>15000000</v>
      </c>
      <c r="M433" s="15"/>
      <c r="N433" s="10">
        <f t="shared" ref="N433:N439" si="62">C433-M433</f>
        <v>15000000</v>
      </c>
      <c r="O433" s="11">
        <f t="shared" ref="O433:O439" si="63">N433/C433</f>
        <v>1</v>
      </c>
      <c r="P433" s="12"/>
      <c r="Q433" s="13"/>
      <c r="R433" s="104"/>
      <c r="S433" s="104"/>
      <c r="T433" s="50"/>
      <c r="U433" s="50"/>
      <c r="V433" s="50"/>
      <c r="W433" s="50"/>
    </row>
    <row r="434" spans="1:23" ht="36" customHeight="1" x14ac:dyDescent="0.25">
      <c r="A434" s="30" t="s">
        <v>609</v>
      </c>
      <c r="B434" s="34">
        <v>1</v>
      </c>
      <c r="C434" s="184">
        <v>10000000</v>
      </c>
      <c r="D434" s="239">
        <v>0</v>
      </c>
      <c r="E434" s="239">
        <v>0</v>
      </c>
      <c r="F434" s="239">
        <v>0</v>
      </c>
      <c r="G434" s="239">
        <v>0</v>
      </c>
      <c r="H434" s="239">
        <v>0</v>
      </c>
      <c r="I434" s="239">
        <v>0</v>
      </c>
      <c r="J434" s="239">
        <v>0</v>
      </c>
      <c r="K434" s="240">
        <f>J434+I434+H434+G434+F434+E434+D434</f>
        <v>0</v>
      </c>
      <c r="L434" s="240">
        <f>C434-K434</f>
        <v>10000000</v>
      </c>
      <c r="M434" s="15"/>
      <c r="N434" s="10">
        <f>C434-M434</f>
        <v>10000000</v>
      </c>
      <c r="O434" s="11">
        <f>N434/C434</f>
        <v>1</v>
      </c>
      <c r="P434" s="12"/>
      <c r="Q434" s="13"/>
      <c r="R434" s="104"/>
      <c r="S434" s="182"/>
      <c r="T434" s="50"/>
      <c r="U434" s="50"/>
      <c r="V434" s="50"/>
      <c r="W434" s="50"/>
    </row>
    <row r="435" spans="1:23" ht="36" customHeight="1" x14ac:dyDescent="0.25">
      <c r="A435" s="30" t="s">
        <v>333</v>
      </c>
      <c r="B435" s="34">
        <v>2</v>
      </c>
      <c r="C435" s="184">
        <v>8000000</v>
      </c>
      <c r="D435" s="239">
        <v>0</v>
      </c>
      <c r="E435" s="239">
        <v>0</v>
      </c>
      <c r="F435" s="239">
        <v>0</v>
      </c>
      <c r="G435" s="239">
        <v>0</v>
      </c>
      <c r="H435" s="239">
        <v>0</v>
      </c>
      <c r="I435" s="239">
        <v>0</v>
      </c>
      <c r="J435" s="239">
        <v>0</v>
      </c>
      <c r="K435" s="240">
        <f t="shared" si="60"/>
        <v>0</v>
      </c>
      <c r="L435" s="240">
        <f t="shared" si="61"/>
        <v>8000000</v>
      </c>
      <c r="M435" s="15"/>
      <c r="N435" s="10">
        <f t="shared" si="62"/>
        <v>8000000</v>
      </c>
      <c r="O435" s="11">
        <f t="shared" si="63"/>
        <v>1</v>
      </c>
      <c r="P435" s="12"/>
      <c r="Q435" s="13"/>
      <c r="R435" s="104"/>
      <c r="S435" s="182"/>
      <c r="T435" s="50"/>
      <c r="U435" s="50"/>
      <c r="V435" s="50"/>
      <c r="W435" s="50"/>
    </row>
    <row r="436" spans="1:23" ht="36" customHeight="1" x14ac:dyDescent="0.25">
      <c r="A436" s="30" t="s">
        <v>334</v>
      </c>
      <c r="B436" s="34">
        <v>2</v>
      </c>
      <c r="C436" s="184">
        <v>90000000</v>
      </c>
      <c r="D436" s="239">
        <v>0</v>
      </c>
      <c r="E436" s="239">
        <v>0</v>
      </c>
      <c r="F436" s="239">
        <v>0</v>
      </c>
      <c r="G436" s="239">
        <v>0</v>
      </c>
      <c r="H436" s="239">
        <v>0</v>
      </c>
      <c r="I436" s="239">
        <v>0</v>
      </c>
      <c r="J436" s="239">
        <v>0</v>
      </c>
      <c r="K436" s="240">
        <f t="shared" si="60"/>
        <v>0</v>
      </c>
      <c r="L436" s="240">
        <f t="shared" si="61"/>
        <v>90000000</v>
      </c>
      <c r="M436" s="15"/>
      <c r="N436" s="10">
        <f t="shared" si="62"/>
        <v>90000000</v>
      </c>
      <c r="O436" s="11">
        <f t="shared" si="63"/>
        <v>1</v>
      </c>
      <c r="P436" s="12"/>
      <c r="Q436" s="13"/>
      <c r="R436" s="104"/>
      <c r="S436" s="182"/>
      <c r="T436" s="50"/>
      <c r="U436" s="50"/>
      <c r="V436" s="50"/>
      <c r="W436" s="50"/>
    </row>
    <row r="437" spans="1:23" s="55" customFormat="1" ht="36" customHeight="1" x14ac:dyDescent="0.25">
      <c r="A437" s="183" t="s">
        <v>335</v>
      </c>
      <c r="B437" s="34">
        <v>1</v>
      </c>
      <c r="C437" s="184">
        <v>35000000</v>
      </c>
      <c r="D437" s="239">
        <v>0</v>
      </c>
      <c r="E437" s="239">
        <v>0</v>
      </c>
      <c r="F437" s="239">
        <v>0</v>
      </c>
      <c r="G437" s="239">
        <v>0</v>
      </c>
      <c r="H437" s="239">
        <v>0</v>
      </c>
      <c r="I437" s="239">
        <v>0</v>
      </c>
      <c r="J437" s="239">
        <v>0</v>
      </c>
      <c r="K437" s="240">
        <f t="shared" si="60"/>
        <v>0</v>
      </c>
      <c r="L437" s="240">
        <f t="shared" si="61"/>
        <v>35000000</v>
      </c>
      <c r="M437" s="15"/>
      <c r="N437" s="10">
        <f t="shared" si="62"/>
        <v>35000000</v>
      </c>
      <c r="O437" s="11">
        <f t="shared" si="63"/>
        <v>1</v>
      </c>
      <c r="P437" s="24"/>
      <c r="Q437" s="30"/>
      <c r="R437" s="106"/>
    </row>
    <row r="438" spans="1:23" s="55" customFormat="1" ht="36" customHeight="1" x14ac:dyDescent="0.25">
      <c r="A438" s="30" t="s">
        <v>154</v>
      </c>
      <c r="B438" s="34" t="s">
        <v>331</v>
      </c>
      <c r="C438" s="184">
        <v>30000000</v>
      </c>
      <c r="D438" s="239">
        <v>0</v>
      </c>
      <c r="E438" s="239">
        <v>0</v>
      </c>
      <c r="F438" s="239">
        <v>0</v>
      </c>
      <c r="G438" s="239">
        <v>0</v>
      </c>
      <c r="H438" s="239">
        <v>0</v>
      </c>
      <c r="I438" s="239">
        <v>0</v>
      </c>
      <c r="J438" s="239">
        <v>0</v>
      </c>
      <c r="K438" s="240">
        <f t="shared" si="60"/>
        <v>0</v>
      </c>
      <c r="L438" s="240">
        <f t="shared" si="61"/>
        <v>30000000</v>
      </c>
      <c r="M438" s="15"/>
      <c r="N438" s="10">
        <f t="shared" si="62"/>
        <v>30000000</v>
      </c>
      <c r="O438" s="11">
        <f t="shared" si="63"/>
        <v>1</v>
      </c>
      <c r="P438" s="24"/>
      <c r="Q438" s="30"/>
      <c r="R438" s="106"/>
    </row>
    <row r="439" spans="1:23" s="55" customFormat="1" ht="36" customHeight="1" x14ac:dyDescent="0.25">
      <c r="A439" s="30" t="s">
        <v>336</v>
      </c>
      <c r="B439" s="34" t="s">
        <v>331</v>
      </c>
      <c r="C439" s="184">
        <v>50000000</v>
      </c>
      <c r="D439" s="239">
        <v>0</v>
      </c>
      <c r="E439" s="239">
        <v>0</v>
      </c>
      <c r="F439" s="239">
        <v>0</v>
      </c>
      <c r="G439" s="239">
        <v>0</v>
      </c>
      <c r="H439" s="239">
        <v>0</v>
      </c>
      <c r="I439" s="239">
        <v>0</v>
      </c>
      <c r="J439" s="239">
        <v>0</v>
      </c>
      <c r="K439" s="240">
        <f t="shared" si="60"/>
        <v>0</v>
      </c>
      <c r="L439" s="240">
        <f t="shared" si="61"/>
        <v>50000000</v>
      </c>
      <c r="M439" s="15"/>
      <c r="N439" s="10">
        <f t="shared" si="62"/>
        <v>50000000</v>
      </c>
      <c r="O439" s="11">
        <f t="shared" si="63"/>
        <v>1</v>
      </c>
      <c r="P439" s="293"/>
      <c r="Q439" s="30"/>
      <c r="R439" s="106"/>
    </row>
    <row r="440" spans="1:23" ht="36" customHeight="1" x14ac:dyDescent="0.25">
      <c r="A440" s="252" t="s">
        <v>155</v>
      </c>
      <c r="B440" s="253"/>
      <c r="C440" s="253"/>
      <c r="D440" s="253"/>
      <c r="E440" s="253"/>
      <c r="F440" s="253"/>
      <c r="G440" s="253"/>
      <c r="H440" s="253"/>
      <c r="I440" s="253"/>
      <c r="J440" s="253"/>
      <c r="K440" s="253"/>
      <c r="L440" s="253"/>
      <c r="M440" s="253"/>
      <c r="N440" s="253"/>
      <c r="O440" s="253"/>
      <c r="P440" s="253"/>
      <c r="Q440" s="253"/>
      <c r="R440" s="254"/>
      <c r="T440" s="50"/>
      <c r="U440" s="50"/>
      <c r="V440" s="50"/>
      <c r="W440" s="50"/>
    </row>
    <row r="441" spans="1:23" s="55" customFormat="1" ht="36" customHeight="1" x14ac:dyDescent="0.25">
      <c r="A441" s="30" t="s">
        <v>156</v>
      </c>
      <c r="B441" s="34">
        <v>2</v>
      </c>
      <c r="C441" s="184">
        <v>20000000</v>
      </c>
      <c r="D441" s="239">
        <v>0</v>
      </c>
      <c r="E441" s="239">
        <v>0</v>
      </c>
      <c r="F441" s="239">
        <v>0</v>
      </c>
      <c r="G441" s="239">
        <v>0</v>
      </c>
      <c r="H441" s="239">
        <v>0</v>
      </c>
      <c r="I441" s="239">
        <v>0</v>
      </c>
      <c r="J441" s="239">
        <v>0</v>
      </c>
      <c r="K441" s="240">
        <f>J441+I441+H441+G441+F441+E441+D441</f>
        <v>0</v>
      </c>
      <c r="L441" s="240">
        <f>C441-K441</f>
        <v>20000000</v>
      </c>
      <c r="M441" s="15"/>
      <c r="N441" s="10">
        <f>C441-M441</f>
        <v>20000000</v>
      </c>
      <c r="O441" s="11">
        <f t="shared" ref="O441:O446" si="64">N441/C441</f>
        <v>1</v>
      </c>
      <c r="P441" s="37"/>
      <c r="Q441" s="286"/>
      <c r="R441" s="109"/>
    </row>
    <row r="442" spans="1:23" s="55" customFormat="1" ht="36" customHeight="1" x14ac:dyDescent="0.25">
      <c r="A442" s="30" t="s">
        <v>608</v>
      </c>
      <c r="B442" s="34">
        <v>1</v>
      </c>
      <c r="C442" s="184">
        <v>5000000</v>
      </c>
      <c r="D442" s="239">
        <v>0</v>
      </c>
      <c r="E442" s="239">
        <v>0</v>
      </c>
      <c r="F442" s="239">
        <v>0</v>
      </c>
      <c r="G442" s="239">
        <v>0</v>
      </c>
      <c r="H442" s="239">
        <v>0</v>
      </c>
      <c r="I442" s="239">
        <v>0</v>
      </c>
      <c r="J442" s="239">
        <v>0</v>
      </c>
      <c r="K442" s="240">
        <f>J442+I442+H442+G442+F442+E442+D442</f>
        <v>0</v>
      </c>
      <c r="L442" s="240">
        <f>C442-K442</f>
        <v>5000000</v>
      </c>
      <c r="M442" s="15"/>
      <c r="N442" s="10">
        <f>C442-M442</f>
        <v>5000000</v>
      </c>
      <c r="O442" s="11">
        <f t="shared" si="64"/>
        <v>1</v>
      </c>
      <c r="P442" s="37"/>
      <c r="Q442" s="286"/>
      <c r="R442" s="109"/>
    </row>
    <row r="443" spans="1:23" s="55" customFormat="1" ht="36" customHeight="1" x14ac:dyDescent="0.25">
      <c r="A443" s="30" t="s">
        <v>157</v>
      </c>
      <c r="B443" s="34">
        <v>10</v>
      </c>
      <c r="C443" s="184">
        <v>50000000</v>
      </c>
      <c r="D443" s="239">
        <v>0</v>
      </c>
      <c r="E443" s="239">
        <v>0</v>
      </c>
      <c r="F443" s="239">
        <v>0</v>
      </c>
      <c r="G443" s="239">
        <v>0</v>
      </c>
      <c r="H443" s="239">
        <v>0</v>
      </c>
      <c r="I443" s="239">
        <v>0</v>
      </c>
      <c r="J443" s="239">
        <v>0</v>
      </c>
      <c r="K443" s="240">
        <f>J443+I443+H443+G443+F443+E443+D443</f>
        <v>0</v>
      </c>
      <c r="L443" s="240">
        <f>C443-K443</f>
        <v>50000000</v>
      </c>
      <c r="M443" s="15"/>
      <c r="N443" s="10">
        <f>C443-M443</f>
        <v>50000000</v>
      </c>
      <c r="O443" s="11">
        <f t="shared" si="64"/>
        <v>1</v>
      </c>
      <c r="P443" s="37"/>
      <c r="Q443" s="286"/>
      <c r="R443" s="109"/>
    </row>
    <row r="444" spans="1:23" ht="36" customHeight="1" x14ac:dyDescent="0.25">
      <c r="A444" s="30" t="s">
        <v>158</v>
      </c>
      <c r="B444" s="34">
        <v>1</v>
      </c>
      <c r="C444" s="184">
        <v>21067272</v>
      </c>
      <c r="D444" s="239">
        <v>0</v>
      </c>
      <c r="E444" s="239">
        <v>0</v>
      </c>
      <c r="F444" s="239">
        <v>0</v>
      </c>
      <c r="G444" s="239">
        <v>0</v>
      </c>
      <c r="H444" s="239">
        <v>0</v>
      </c>
      <c r="I444" s="239">
        <v>0</v>
      </c>
      <c r="J444" s="239">
        <v>0</v>
      </c>
      <c r="K444" s="240">
        <f>J444+I444+H444+G444+F444+E444+D444</f>
        <v>0</v>
      </c>
      <c r="L444" s="240">
        <f>C444-K444</f>
        <v>21067272</v>
      </c>
      <c r="M444" s="15"/>
      <c r="N444" s="10">
        <f>C444-M444</f>
        <v>21067272</v>
      </c>
      <c r="O444" s="11">
        <f t="shared" si="64"/>
        <v>1</v>
      </c>
      <c r="P444" s="6"/>
      <c r="Q444" s="8"/>
      <c r="R444" s="103"/>
      <c r="T444" s="50"/>
      <c r="U444" s="50"/>
      <c r="V444" s="50"/>
      <c r="W444" s="50"/>
    </row>
    <row r="445" spans="1:23" ht="36" customHeight="1" x14ac:dyDescent="0.25">
      <c r="A445" s="30" t="s">
        <v>607</v>
      </c>
      <c r="B445" s="34">
        <v>1</v>
      </c>
      <c r="C445" s="184">
        <v>70000000</v>
      </c>
      <c r="D445" s="239">
        <v>0</v>
      </c>
      <c r="E445" s="239">
        <v>0</v>
      </c>
      <c r="F445" s="239">
        <v>0</v>
      </c>
      <c r="G445" s="239">
        <v>0</v>
      </c>
      <c r="H445" s="239">
        <v>0</v>
      </c>
      <c r="I445" s="239">
        <v>0</v>
      </c>
      <c r="J445" s="239">
        <v>0</v>
      </c>
      <c r="K445" s="240">
        <f>J445+I445+H445+G445+F445+E445+D445</f>
        <v>0</v>
      </c>
      <c r="L445" s="240">
        <f>C445-K445</f>
        <v>70000000</v>
      </c>
      <c r="M445" s="15"/>
      <c r="N445" s="10">
        <f>C445-M445</f>
        <v>70000000</v>
      </c>
      <c r="O445" s="11">
        <f t="shared" si="64"/>
        <v>1</v>
      </c>
      <c r="P445" s="6"/>
      <c r="Q445" s="8"/>
      <c r="R445" s="103"/>
      <c r="T445" s="50"/>
      <c r="U445" s="50"/>
      <c r="V445" s="50"/>
      <c r="W445" s="50"/>
    </row>
    <row r="446" spans="1:23" x14ac:dyDescent="0.25">
      <c r="A446" s="834" t="s">
        <v>159</v>
      </c>
      <c r="B446" s="835"/>
      <c r="C446" s="217">
        <f>SUM(C427:C445)</f>
        <v>1047265075</v>
      </c>
      <c r="D446" s="217"/>
      <c r="E446" s="217"/>
      <c r="F446" s="217"/>
      <c r="G446" s="217"/>
      <c r="H446" s="217"/>
      <c r="I446" s="217"/>
      <c r="J446" s="217"/>
      <c r="K446" s="217">
        <f>SUM(K427:K445)</f>
        <v>0</v>
      </c>
      <c r="L446" s="217">
        <f>SUM(L427:L445)</f>
        <v>1047265075</v>
      </c>
      <c r="M446" s="51">
        <f>SUM(M427:M445)</f>
        <v>0</v>
      </c>
      <c r="N446" s="51">
        <f>SUM(N427:N445)</f>
        <v>1047265075</v>
      </c>
      <c r="O446" s="52">
        <f t="shared" si="64"/>
        <v>1</v>
      </c>
      <c r="P446" s="53"/>
      <c r="Q446" s="54"/>
      <c r="R446" s="108"/>
      <c r="T446" s="50"/>
      <c r="U446" s="50"/>
      <c r="V446" s="50"/>
      <c r="W446" s="50"/>
    </row>
    <row r="447" spans="1:23" x14ac:dyDescent="0.25">
      <c r="A447" s="21" t="s">
        <v>62</v>
      </c>
      <c r="B447" s="809" t="s">
        <v>123</v>
      </c>
      <c r="C447" s="809"/>
      <c r="D447" s="809"/>
      <c r="E447" s="809"/>
      <c r="F447" s="809"/>
      <c r="G447" s="809"/>
      <c r="H447" s="809"/>
      <c r="I447" s="809"/>
      <c r="J447" s="809"/>
      <c r="K447" s="809"/>
      <c r="L447" s="809"/>
      <c r="M447" s="809"/>
      <c r="N447" s="809"/>
      <c r="O447" s="809"/>
      <c r="P447" s="809"/>
      <c r="Q447" s="809"/>
      <c r="R447" s="810"/>
      <c r="T447" s="50"/>
      <c r="U447" s="50"/>
      <c r="V447" s="50"/>
      <c r="W447" s="50"/>
    </row>
    <row r="448" spans="1:23" x14ac:dyDescent="0.25">
      <c r="A448" s="21" t="s">
        <v>3</v>
      </c>
      <c r="B448" s="809" t="s">
        <v>126</v>
      </c>
      <c r="C448" s="809"/>
      <c r="D448" s="809"/>
      <c r="E448" s="809"/>
      <c r="F448" s="809"/>
      <c r="G448" s="809"/>
      <c r="H448" s="809"/>
      <c r="I448" s="809"/>
      <c r="J448" s="809"/>
      <c r="K448" s="809"/>
      <c r="L448" s="809"/>
      <c r="M448" s="809"/>
      <c r="N448" s="809"/>
      <c r="O448" s="809"/>
      <c r="P448" s="809"/>
      <c r="Q448" s="809"/>
      <c r="R448" s="810"/>
      <c r="T448" s="50"/>
      <c r="U448" s="50"/>
      <c r="V448" s="50"/>
      <c r="W448" s="50"/>
    </row>
    <row r="449" spans="1:23" x14ac:dyDescent="0.25">
      <c r="A449" s="21" t="s">
        <v>5</v>
      </c>
      <c r="B449" s="799" t="s">
        <v>160</v>
      </c>
      <c r="C449" s="799"/>
      <c r="D449" s="799"/>
      <c r="E449" s="799"/>
      <c r="F449" s="799"/>
      <c r="G449" s="799"/>
      <c r="H449" s="799"/>
      <c r="I449" s="799"/>
      <c r="J449" s="799"/>
      <c r="K449" s="799"/>
      <c r="L449" s="799"/>
      <c r="M449" s="799"/>
      <c r="N449" s="799"/>
      <c r="O449" s="799"/>
      <c r="P449" s="799"/>
      <c r="Q449" s="799"/>
      <c r="R449" s="800"/>
      <c r="T449" s="50"/>
      <c r="U449" s="50"/>
      <c r="V449" s="50"/>
      <c r="W449" s="50"/>
    </row>
    <row r="450" spans="1:23" x14ac:dyDescent="0.25">
      <c r="A450" s="21" t="s">
        <v>6</v>
      </c>
      <c r="B450" s="799" t="s">
        <v>128</v>
      </c>
      <c r="C450" s="799"/>
      <c r="D450" s="799"/>
      <c r="E450" s="799"/>
      <c r="F450" s="799"/>
      <c r="G450" s="799"/>
      <c r="H450" s="799"/>
      <c r="I450" s="799"/>
      <c r="J450" s="799"/>
      <c r="K450" s="799"/>
      <c r="L450" s="799"/>
      <c r="M450" s="799"/>
      <c r="N450" s="799"/>
      <c r="O450" s="799"/>
      <c r="P450" s="799"/>
      <c r="Q450" s="799"/>
      <c r="R450" s="800"/>
      <c r="T450" s="50"/>
      <c r="U450" s="50"/>
      <c r="V450" s="50"/>
      <c r="W450" s="50"/>
    </row>
    <row r="451" spans="1:23" x14ac:dyDescent="0.25">
      <c r="A451" s="21" t="s">
        <v>8</v>
      </c>
      <c r="B451" s="344" t="s">
        <v>161</v>
      </c>
      <c r="C451" s="345"/>
      <c r="D451" s="345"/>
      <c r="E451" s="345"/>
      <c r="F451" s="345"/>
      <c r="G451" s="345"/>
      <c r="H451" s="345"/>
      <c r="I451" s="345"/>
      <c r="J451" s="345"/>
      <c r="K451" s="345"/>
      <c r="L451" s="345"/>
      <c r="M451" s="345"/>
      <c r="N451" s="345"/>
      <c r="O451" s="345"/>
      <c r="P451" s="345"/>
      <c r="Q451" s="345"/>
      <c r="R451" s="346"/>
      <c r="T451" s="50"/>
      <c r="U451" s="50"/>
      <c r="V451" s="50"/>
      <c r="W451" s="50"/>
    </row>
    <row r="452" spans="1:23" ht="12.75" customHeight="1" x14ac:dyDescent="0.25">
      <c r="A452" s="825" t="s">
        <v>10</v>
      </c>
      <c r="B452" s="793" t="s">
        <v>11</v>
      </c>
      <c r="C452" s="813" t="s">
        <v>12</v>
      </c>
      <c r="D452" s="815" t="s">
        <v>361</v>
      </c>
      <c r="E452" s="816"/>
      <c r="F452" s="816"/>
      <c r="G452" s="816"/>
      <c r="H452" s="816"/>
      <c r="I452" s="816"/>
      <c r="J452" s="816"/>
      <c r="K452" s="816"/>
      <c r="L452" s="817"/>
      <c r="M452" s="818" t="s">
        <v>13</v>
      </c>
      <c r="N452" s="811" t="s">
        <v>14</v>
      </c>
      <c r="O452" s="793" t="s">
        <v>15</v>
      </c>
      <c r="P452" s="795" t="s">
        <v>16</v>
      </c>
      <c r="Q452" s="793" t="s">
        <v>17</v>
      </c>
      <c r="R452" s="797" t="s">
        <v>18</v>
      </c>
      <c r="T452" s="50"/>
      <c r="U452" s="50"/>
      <c r="V452" s="50"/>
      <c r="W452" s="50"/>
    </row>
    <row r="453" spans="1:23" ht="26.25" customHeight="1" x14ac:dyDescent="0.25">
      <c r="A453" s="826"/>
      <c r="B453" s="794"/>
      <c r="C453" s="814"/>
      <c r="D453" s="193" t="s">
        <v>366</v>
      </c>
      <c r="E453" s="193" t="s">
        <v>362</v>
      </c>
      <c r="F453" s="193" t="s">
        <v>355</v>
      </c>
      <c r="G453" s="193" t="s">
        <v>357</v>
      </c>
      <c r="H453" s="193" t="s">
        <v>352</v>
      </c>
      <c r="I453" s="193" t="s">
        <v>354</v>
      </c>
      <c r="J453" s="193" t="s">
        <v>353</v>
      </c>
      <c r="K453" s="193" t="s">
        <v>356</v>
      </c>
      <c r="L453" s="193" t="s">
        <v>359</v>
      </c>
      <c r="M453" s="819"/>
      <c r="N453" s="812"/>
      <c r="O453" s="794"/>
      <c r="P453" s="796"/>
      <c r="Q453" s="794"/>
      <c r="R453" s="798"/>
      <c r="T453" s="50"/>
      <c r="U453" s="50"/>
      <c r="V453" s="50"/>
      <c r="W453" s="50"/>
    </row>
    <row r="454" spans="1:23" ht="36.75" customHeight="1" x14ac:dyDescent="0.25">
      <c r="A454" s="449" t="s">
        <v>567</v>
      </c>
      <c r="B454" s="8">
        <v>1</v>
      </c>
      <c r="C454" s="450">
        <v>8000000</v>
      </c>
      <c r="D454" s="239">
        <v>0</v>
      </c>
      <c r="E454" s="239">
        <v>0</v>
      </c>
      <c r="F454" s="239">
        <v>0</v>
      </c>
      <c r="G454" s="239">
        <v>0</v>
      </c>
      <c r="H454" s="239">
        <v>0</v>
      </c>
      <c r="I454" s="239">
        <v>0</v>
      </c>
      <c r="J454" s="239">
        <v>0</v>
      </c>
      <c r="K454" s="240">
        <f>J454+I454+H454+G454+F454+E454+D454</f>
        <v>0</v>
      </c>
      <c r="L454" s="240">
        <f>C454-K454</f>
        <v>8000000</v>
      </c>
      <c r="M454" s="15"/>
      <c r="N454" s="10">
        <f>C454-M454</f>
        <v>8000000</v>
      </c>
      <c r="O454" s="11">
        <f>N454/C454</f>
        <v>1</v>
      </c>
      <c r="P454" s="294"/>
      <c r="Q454" s="3"/>
      <c r="R454" s="103"/>
      <c r="T454" s="50"/>
      <c r="U454" s="50"/>
      <c r="V454" s="50"/>
      <c r="W454" s="50"/>
    </row>
    <row r="455" spans="1:23" ht="77.25" customHeight="1" x14ac:dyDescent="0.25">
      <c r="A455" s="451" t="s">
        <v>568</v>
      </c>
      <c r="B455" s="8">
        <v>1</v>
      </c>
      <c r="C455" s="452">
        <v>19000000</v>
      </c>
      <c r="D455" s="239">
        <v>0</v>
      </c>
      <c r="E455" s="239">
        <v>0</v>
      </c>
      <c r="F455" s="239">
        <v>0</v>
      </c>
      <c r="G455" s="239">
        <v>0</v>
      </c>
      <c r="H455" s="239">
        <v>0</v>
      </c>
      <c r="I455" s="239">
        <v>0</v>
      </c>
      <c r="J455" s="239">
        <v>0</v>
      </c>
      <c r="K455" s="240">
        <f>J455+I455+H455+G455+F455+E455+D455</f>
        <v>0</v>
      </c>
      <c r="L455" s="240">
        <f>C455-K455</f>
        <v>19000000</v>
      </c>
      <c r="M455" s="15"/>
      <c r="N455" s="10">
        <f>C455-M455</f>
        <v>19000000</v>
      </c>
      <c r="O455" s="11">
        <f>N455/C455</f>
        <v>1</v>
      </c>
      <c r="P455" s="294"/>
      <c r="Q455" s="3"/>
      <c r="R455" s="103" t="s">
        <v>367</v>
      </c>
      <c r="T455" s="50"/>
      <c r="U455" s="50"/>
      <c r="V455" s="50"/>
      <c r="W455" s="50"/>
    </row>
    <row r="456" spans="1:23" ht="46.5" customHeight="1" x14ac:dyDescent="0.25">
      <c r="A456" s="451" t="s">
        <v>569</v>
      </c>
      <c r="B456" s="8">
        <v>1</v>
      </c>
      <c r="C456" s="452">
        <v>9000000</v>
      </c>
      <c r="D456" s="239">
        <v>0</v>
      </c>
      <c r="E456" s="239">
        <v>0</v>
      </c>
      <c r="F456" s="239">
        <v>0</v>
      </c>
      <c r="G456" s="239">
        <v>0</v>
      </c>
      <c r="H456" s="239">
        <v>0</v>
      </c>
      <c r="I456" s="239">
        <v>0</v>
      </c>
      <c r="J456" s="239">
        <v>0</v>
      </c>
      <c r="K456" s="240">
        <f>J456+I456+H456+G456+F456+E456+D456</f>
        <v>0</v>
      </c>
      <c r="L456" s="240">
        <f>C456-K456</f>
        <v>9000000</v>
      </c>
      <c r="M456" s="15"/>
      <c r="N456" s="10">
        <f>C456-M456</f>
        <v>9000000</v>
      </c>
      <c r="O456" s="11">
        <f>N456/C456</f>
        <v>1</v>
      </c>
      <c r="P456" s="294"/>
      <c r="Q456" s="3"/>
      <c r="R456" s="103"/>
      <c r="T456" s="50"/>
      <c r="U456" s="50"/>
      <c r="V456" s="50"/>
      <c r="W456" s="50"/>
    </row>
    <row r="457" spans="1:23" ht="48" customHeight="1" x14ac:dyDescent="0.25">
      <c r="A457" s="451" t="s">
        <v>570</v>
      </c>
      <c r="B457" s="8">
        <v>1</v>
      </c>
      <c r="C457" s="452">
        <v>5000000</v>
      </c>
      <c r="D457" s="239">
        <v>0</v>
      </c>
      <c r="E457" s="239">
        <v>0</v>
      </c>
      <c r="F457" s="239">
        <v>0</v>
      </c>
      <c r="G457" s="239">
        <v>0</v>
      </c>
      <c r="H457" s="239">
        <v>0</v>
      </c>
      <c r="I457" s="239">
        <v>0</v>
      </c>
      <c r="J457" s="239">
        <v>0</v>
      </c>
      <c r="K457" s="240">
        <f>J457+I457+H457+G457+F457+E457+D457</f>
        <v>0</v>
      </c>
      <c r="L457" s="240">
        <f>C457-K457</f>
        <v>5000000</v>
      </c>
      <c r="M457" s="15"/>
      <c r="N457" s="10">
        <f>C457-M457</f>
        <v>5000000</v>
      </c>
      <c r="O457" s="11">
        <f>N457/C457</f>
        <v>1</v>
      </c>
      <c r="P457" s="6"/>
      <c r="Q457" s="3"/>
      <c r="R457" s="103" t="s">
        <v>368</v>
      </c>
      <c r="T457" s="50"/>
      <c r="U457" s="50"/>
      <c r="V457" s="50"/>
      <c r="W457" s="50"/>
    </row>
    <row r="458" spans="1:23" ht="38.25" customHeight="1" x14ac:dyDescent="0.25">
      <c r="A458" s="823" t="s">
        <v>342</v>
      </c>
      <c r="B458" s="824"/>
      <c r="C458" s="217">
        <f>SUM(C454:C457)</f>
        <v>41000000</v>
      </c>
      <c r="D458" s="217"/>
      <c r="E458" s="217"/>
      <c r="F458" s="217"/>
      <c r="G458" s="217"/>
      <c r="H458" s="217"/>
      <c r="I458" s="217"/>
      <c r="J458" s="217"/>
      <c r="K458" s="217">
        <f>SUM(K454:K457)</f>
        <v>0</v>
      </c>
      <c r="L458" s="217">
        <f>SUM(L454:L457)</f>
        <v>41000000</v>
      </c>
      <c r="M458" s="51">
        <f>SUM(M454:M457)</f>
        <v>0</v>
      </c>
      <c r="N458" s="51">
        <f>SUM(N454:N457)</f>
        <v>41000000</v>
      </c>
      <c r="O458" s="52">
        <f>N458/C458</f>
        <v>1</v>
      </c>
      <c r="P458" s="53"/>
      <c r="Q458" s="54"/>
      <c r="R458" s="108"/>
      <c r="T458" s="50"/>
      <c r="U458" s="50"/>
      <c r="V458" s="50"/>
      <c r="W458" s="50"/>
    </row>
    <row r="459" spans="1:23" x14ac:dyDescent="0.25">
      <c r="A459" s="21" t="s">
        <v>62</v>
      </c>
      <c r="B459" s="809" t="s">
        <v>43</v>
      </c>
      <c r="C459" s="809"/>
      <c r="D459" s="809"/>
      <c r="E459" s="809"/>
      <c r="F459" s="809"/>
      <c r="G459" s="809"/>
      <c r="H459" s="809"/>
      <c r="I459" s="809"/>
      <c r="J459" s="809"/>
      <c r="K459" s="809"/>
      <c r="L459" s="809"/>
      <c r="M459" s="809"/>
      <c r="N459" s="809"/>
      <c r="O459" s="809"/>
      <c r="P459" s="809"/>
      <c r="Q459" s="809"/>
      <c r="R459" s="810"/>
      <c r="T459" s="50"/>
      <c r="U459" s="50"/>
      <c r="V459" s="50"/>
      <c r="W459" s="50"/>
    </row>
    <row r="460" spans="1:23" x14ac:dyDescent="0.25">
      <c r="A460" s="21" t="s">
        <v>3</v>
      </c>
      <c r="B460" s="809" t="s">
        <v>162</v>
      </c>
      <c r="C460" s="809"/>
      <c r="D460" s="809"/>
      <c r="E460" s="809"/>
      <c r="F460" s="809"/>
      <c r="G460" s="809"/>
      <c r="H460" s="809"/>
      <c r="I460" s="809"/>
      <c r="J460" s="809"/>
      <c r="K460" s="809"/>
      <c r="L460" s="809"/>
      <c r="M460" s="809"/>
      <c r="N460" s="809"/>
      <c r="O460" s="809"/>
      <c r="P460" s="809"/>
      <c r="Q460" s="809"/>
      <c r="R460" s="810"/>
      <c r="T460" s="50"/>
      <c r="U460" s="50"/>
      <c r="V460" s="50"/>
      <c r="W460" s="50"/>
    </row>
    <row r="461" spans="1:23" x14ac:dyDescent="0.25">
      <c r="A461" s="21" t="s">
        <v>5</v>
      </c>
      <c r="B461" s="799" t="s">
        <v>163</v>
      </c>
      <c r="C461" s="799"/>
      <c r="D461" s="799"/>
      <c r="E461" s="799"/>
      <c r="F461" s="799"/>
      <c r="G461" s="799"/>
      <c r="H461" s="799"/>
      <c r="I461" s="799"/>
      <c r="J461" s="799"/>
      <c r="K461" s="799"/>
      <c r="L461" s="799"/>
      <c r="M461" s="799"/>
      <c r="N461" s="799"/>
      <c r="O461" s="799"/>
      <c r="P461" s="799"/>
      <c r="Q461" s="799"/>
      <c r="R461" s="800"/>
      <c r="T461" s="50"/>
      <c r="U461" s="50"/>
      <c r="V461" s="50"/>
      <c r="W461" s="50"/>
    </row>
    <row r="462" spans="1:23" x14ac:dyDescent="0.25">
      <c r="A462" s="21" t="s">
        <v>6</v>
      </c>
      <c r="B462" s="799" t="s">
        <v>144</v>
      </c>
      <c r="C462" s="799"/>
      <c r="D462" s="799"/>
      <c r="E462" s="799"/>
      <c r="F462" s="799"/>
      <c r="G462" s="799"/>
      <c r="H462" s="799"/>
      <c r="I462" s="799"/>
      <c r="J462" s="799"/>
      <c r="K462" s="799"/>
      <c r="L462" s="799"/>
      <c r="M462" s="799"/>
      <c r="N462" s="799"/>
      <c r="O462" s="799"/>
      <c r="P462" s="799"/>
      <c r="Q462" s="799"/>
      <c r="R462" s="800"/>
      <c r="T462" s="50"/>
      <c r="U462" s="50"/>
      <c r="V462" s="50"/>
      <c r="W462" s="50"/>
    </row>
    <row r="463" spans="1:23" x14ac:dyDescent="0.25">
      <c r="A463" s="21" t="s">
        <v>8</v>
      </c>
      <c r="B463" s="799" t="s">
        <v>164</v>
      </c>
      <c r="C463" s="799"/>
      <c r="D463" s="799"/>
      <c r="E463" s="799"/>
      <c r="F463" s="799"/>
      <c r="G463" s="799"/>
      <c r="H463" s="799"/>
      <c r="I463" s="799"/>
      <c r="J463" s="799"/>
      <c r="K463" s="799"/>
      <c r="L463" s="799"/>
      <c r="M463" s="799"/>
      <c r="N463" s="799"/>
      <c r="O463" s="799"/>
      <c r="P463" s="799"/>
      <c r="Q463" s="799"/>
      <c r="R463" s="800"/>
      <c r="T463" s="50"/>
      <c r="U463" s="50"/>
      <c r="V463" s="50"/>
      <c r="W463" s="50"/>
    </row>
    <row r="464" spans="1:23" ht="12.75" customHeight="1" x14ac:dyDescent="0.25">
      <c r="A464" s="825" t="s">
        <v>10</v>
      </c>
      <c r="B464" s="793" t="s">
        <v>11</v>
      </c>
      <c r="C464" s="813" t="s">
        <v>12</v>
      </c>
      <c r="D464" s="815" t="s">
        <v>361</v>
      </c>
      <c r="E464" s="816"/>
      <c r="F464" s="816"/>
      <c r="G464" s="816"/>
      <c r="H464" s="816"/>
      <c r="I464" s="816"/>
      <c r="J464" s="816"/>
      <c r="K464" s="816"/>
      <c r="L464" s="817"/>
      <c r="M464" s="818" t="s">
        <v>13</v>
      </c>
      <c r="N464" s="811" t="s">
        <v>14</v>
      </c>
      <c r="O464" s="793" t="s">
        <v>15</v>
      </c>
      <c r="P464" s="795" t="s">
        <v>16</v>
      </c>
      <c r="Q464" s="793" t="s">
        <v>17</v>
      </c>
      <c r="R464" s="797" t="s">
        <v>18</v>
      </c>
      <c r="T464" s="50"/>
      <c r="U464" s="50"/>
      <c r="V464" s="50"/>
      <c r="W464" s="50"/>
    </row>
    <row r="465" spans="1:23" ht="30" customHeight="1" x14ac:dyDescent="0.25">
      <c r="A465" s="826"/>
      <c r="B465" s="794"/>
      <c r="C465" s="814"/>
      <c r="D465" s="193" t="s">
        <v>366</v>
      </c>
      <c r="E465" s="193" t="s">
        <v>362</v>
      </c>
      <c r="F465" s="193" t="s">
        <v>355</v>
      </c>
      <c r="G465" s="193" t="s">
        <v>357</v>
      </c>
      <c r="H465" s="193" t="s">
        <v>352</v>
      </c>
      <c r="I465" s="193" t="s">
        <v>354</v>
      </c>
      <c r="J465" s="193" t="s">
        <v>353</v>
      </c>
      <c r="K465" s="193" t="s">
        <v>356</v>
      </c>
      <c r="L465" s="193" t="s">
        <v>359</v>
      </c>
      <c r="M465" s="819"/>
      <c r="N465" s="812"/>
      <c r="O465" s="794"/>
      <c r="P465" s="796"/>
      <c r="Q465" s="794"/>
      <c r="R465" s="798"/>
      <c r="T465" s="50"/>
      <c r="U465" s="50"/>
      <c r="V465" s="50"/>
      <c r="W465" s="50"/>
    </row>
    <row r="466" spans="1:23" s="55" customFormat="1" ht="100.5" customHeight="1" x14ac:dyDescent="0.25">
      <c r="A466" s="453" t="s">
        <v>571</v>
      </c>
      <c r="B466" s="3">
        <v>1</v>
      </c>
      <c r="C466" s="242">
        <v>16500000</v>
      </c>
      <c r="D466" s="239">
        <v>0</v>
      </c>
      <c r="E466" s="239">
        <v>0</v>
      </c>
      <c r="F466" s="239">
        <v>0</v>
      </c>
      <c r="G466" s="239">
        <v>0</v>
      </c>
      <c r="H466" s="239">
        <v>0</v>
      </c>
      <c r="I466" s="239">
        <v>0</v>
      </c>
      <c r="J466" s="239">
        <v>0</v>
      </c>
      <c r="K466" s="240">
        <f>J466+I466+H466+G466+F466+E466+D466</f>
        <v>0</v>
      </c>
      <c r="L466" s="240">
        <f>C466-K466</f>
        <v>16500000</v>
      </c>
      <c r="M466" s="15"/>
      <c r="N466" s="10">
        <f>C466-M466</f>
        <v>16500000</v>
      </c>
      <c r="O466" s="11">
        <f>N466/C466</f>
        <v>1</v>
      </c>
      <c r="P466" s="24"/>
      <c r="Q466" s="30"/>
      <c r="R466" s="106"/>
    </row>
    <row r="467" spans="1:23" x14ac:dyDescent="0.25">
      <c r="A467" s="834" t="s">
        <v>165</v>
      </c>
      <c r="B467" s="835"/>
      <c r="C467" s="217">
        <f>SUM(C466:C466)</f>
        <v>16500000</v>
      </c>
      <c r="D467" s="217"/>
      <c r="E467" s="217"/>
      <c r="F467" s="217"/>
      <c r="G467" s="217"/>
      <c r="H467" s="217"/>
      <c r="I467" s="217"/>
      <c r="J467" s="217"/>
      <c r="K467" s="217">
        <f>SUM(K466:K466)</f>
        <v>0</v>
      </c>
      <c r="L467" s="217">
        <f>SUM(L466:L466)</f>
        <v>16500000</v>
      </c>
      <c r="M467" s="51">
        <f>SUM(M466:M466)</f>
        <v>0</v>
      </c>
      <c r="N467" s="51">
        <f>SUM(N466:N466)</f>
        <v>16500000</v>
      </c>
      <c r="O467" s="52">
        <f>N467/C467</f>
        <v>1</v>
      </c>
      <c r="P467" s="53"/>
      <c r="Q467" s="54"/>
      <c r="R467" s="108"/>
      <c r="T467" s="50"/>
      <c r="U467" s="50"/>
      <c r="V467" s="50"/>
      <c r="W467" s="50"/>
    </row>
    <row r="468" spans="1:23" x14ac:dyDescent="0.25">
      <c r="A468" s="21" t="s">
        <v>62</v>
      </c>
      <c r="B468" s="809" t="s">
        <v>43</v>
      </c>
      <c r="C468" s="809"/>
      <c r="D468" s="809"/>
      <c r="E468" s="809"/>
      <c r="F468" s="809"/>
      <c r="G468" s="809"/>
      <c r="H468" s="809"/>
      <c r="I468" s="809"/>
      <c r="J468" s="809"/>
      <c r="K468" s="809"/>
      <c r="L468" s="809"/>
      <c r="M468" s="809"/>
      <c r="N468" s="809"/>
      <c r="O468" s="809"/>
      <c r="P468" s="809"/>
      <c r="Q468" s="809"/>
      <c r="R468" s="810"/>
    </row>
    <row r="469" spans="1:23" x14ac:dyDescent="0.25">
      <c r="A469" s="21" t="s">
        <v>3</v>
      </c>
      <c r="B469" s="809" t="s">
        <v>166</v>
      </c>
      <c r="C469" s="809"/>
      <c r="D469" s="809"/>
      <c r="E469" s="809"/>
      <c r="F469" s="809"/>
      <c r="G469" s="809"/>
      <c r="H469" s="809"/>
      <c r="I469" s="809"/>
      <c r="J469" s="809"/>
      <c r="K469" s="809"/>
      <c r="L469" s="809"/>
      <c r="M469" s="809"/>
      <c r="N469" s="809"/>
      <c r="O469" s="809"/>
      <c r="P469" s="809"/>
      <c r="Q469" s="809"/>
      <c r="R469" s="810"/>
    </row>
    <row r="470" spans="1:23" x14ac:dyDescent="0.25">
      <c r="A470" s="21" t="s">
        <v>5</v>
      </c>
      <c r="B470" s="799" t="s">
        <v>167</v>
      </c>
      <c r="C470" s="799"/>
      <c r="D470" s="799"/>
      <c r="E470" s="799"/>
      <c r="F470" s="799"/>
      <c r="G470" s="799"/>
      <c r="H470" s="799"/>
      <c r="I470" s="799"/>
      <c r="J470" s="799"/>
      <c r="K470" s="799"/>
      <c r="L470" s="799"/>
      <c r="M470" s="799"/>
      <c r="N470" s="799"/>
      <c r="O470" s="799"/>
      <c r="P470" s="799"/>
      <c r="Q470" s="799"/>
      <c r="R470" s="800"/>
    </row>
    <row r="471" spans="1:23" x14ac:dyDescent="0.25">
      <c r="A471" s="21" t="s">
        <v>6</v>
      </c>
      <c r="B471" s="799" t="s">
        <v>144</v>
      </c>
      <c r="C471" s="799"/>
      <c r="D471" s="799"/>
      <c r="E471" s="799"/>
      <c r="F471" s="799"/>
      <c r="G471" s="799"/>
      <c r="H471" s="799"/>
      <c r="I471" s="799"/>
      <c r="J471" s="799"/>
      <c r="K471" s="799"/>
      <c r="L471" s="799"/>
      <c r="M471" s="799"/>
      <c r="N471" s="799"/>
      <c r="O471" s="799"/>
      <c r="P471" s="799"/>
      <c r="Q471" s="799"/>
      <c r="R471" s="800"/>
    </row>
    <row r="472" spans="1:23" x14ac:dyDescent="0.25">
      <c r="A472" s="21" t="s">
        <v>8</v>
      </c>
      <c r="B472" s="799" t="s">
        <v>168</v>
      </c>
      <c r="C472" s="799"/>
      <c r="D472" s="799"/>
      <c r="E472" s="799"/>
      <c r="F472" s="799"/>
      <c r="G472" s="799"/>
      <c r="H472" s="799"/>
      <c r="I472" s="799"/>
      <c r="J472" s="799"/>
      <c r="K472" s="799"/>
      <c r="L472" s="799"/>
      <c r="M472" s="799"/>
      <c r="N472" s="799"/>
      <c r="O472" s="799"/>
      <c r="P472" s="799"/>
      <c r="Q472" s="799"/>
      <c r="R472" s="800"/>
    </row>
    <row r="473" spans="1:23" ht="12.75" customHeight="1" x14ac:dyDescent="0.25">
      <c r="A473" s="825" t="s">
        <v>10</v>
      </c>
      <c r="B473" s="793" t="s">
        <v>11</v>
      </c>
      <c r="C473" s="813" t="s">
        <v>12</v>
      </c>
      <c r="D473" s="815" t="s">
        <v>361</v>
      </c>
      <c r="E473" s="816"/>
      <c r="F473" s="816"/>
      <c r="G473" s="816"/>
      <c r="H473" s="816"/>
      <c r="I473" s="816"/>
      <c r="J473" s="816"/>
      <c r="K473" s="816"/>
      <c r="L473" s="817"/>
      <c r="M473" s="818" t="s">
        <v>13</v>
      </c>
      <c r="N473" s="811" t="s">
        <v>14</v>
      </c>
      <c r="O473" s="793" t="s">
        <v>15</v>
      </c>
      <c r="P473" s="795" t="s">
        <v>16</v>
      </c>
      <c r="Q473" s="793" t="s">
        <v>17</v>
      </c>
      <c r="R473" s="797" t="s">
        <v>18</v>
      </c>
    </row>
    <row r="474" spans="1:23" ht="30.75" customHeight="1" x14ac:dyDescent="0.25">
      <c r="A474" s="826"/>
      <c r="B474" s="794"/>
      <c r="C474" s="814"/>
      <c r="D474" s="193" t="s">
        <v>366</v>
      </c>
      <c r="E474" s="193" t="s">
        <v>362</v>
      </c>
      <c r="F474" s="193" t="s">
        <v>355</v>
      </c>
      <c r="G474" s="193" t="s">
        <v>357</v>
      </c>
      <c r="H474" s="193" t="s">
        <v>352</v>
      </c>
      <c r="I474" s="193" t="s">
        <v>354</v>
      </c>
      <c r="J474" s="193" t="s">
        <v>353</v>
      </c>
      <c r="K474" s="193" t="s">
        <v>356</v>
      </c>
      <c r="L474" s="193" t="s">
        <v>359</v>
      </c>
      <c r="M474" s="819"/>
      <c r="N474" s="812"/>
      <c r="O474" s="794"/>
      <c r="P474" s="796"/>
      <c r="Q474" s="794"/>
      <c r="R474" s="798"/>
    </row>
    <row r="475" spans="1:23" x14ac:dyDescent="0.25">
      <c r="A475" s="820" t="s">
        <v>169</v>
      </c>
      <c r="B475" s="821"/>
      <c r="C475" s="821"/>
      <c r="D475" s="821"/>
      <c r="E475" s="821"/>
      <c r="F475" s="821"/>
      <c r="G475" s="821"/>
      <c r="H475" s="821"/>
      <c r="I475" s="821"/>
      <c r="J475" s="821"/>
      <c r="K475" s="821"/>
      <c r="L475" s="821"/>
      <c r="M475" s="821"/>
      <c r="N475" s="821"/>
      <c r="O475" s="821"/>
      <c r="P475" s="821"/>
      <c r="Q475" s="821"/>
      <c r="R475" s="822"/>
    </row>
    <row r="476" spans="1:23" s="55" customFormat="1" ht="26.25" customHeight="1" x14ac:dyDescent="0.25">
      <c r="A476" s="900" t="s">
        <v>170</v>
      </c>
      <c r="B476" s="901"/>
      <c r="C476" s="901"/>
      <c r="D476" s="901"/>
      <c r="E476" s="901"/>
      <c r="F476" s="901"/>
      <c r="G476" s="901"/>
      <c r="H476" s="901"/>
      <c r="I476" s="901"/>
      <c r="J476" s="901"/>
      <c r="K476" s="901"/>
      <c r="L476" s="901"/>
      <c r="M476" s="901"/>
      <c r="N476" s="901"/>
      <c r="O476" s="901"/>
      <c r="P476" s="901"/>
      <c r="Q476" s="901"/>
      <c r="R476" s="902"/>
      <c r="T476" s="56"/>
      <c r="U476" s="56"/>
      <c r="V476" s="56"/>
      <c r="W476" s="56"/>
    </row>
    <row r="477" spans="1:23" s="55" customFormat="1" ht="26.25" customHeight="1" x14ac:dyDescent="0.25">
      <c r="A477" s="30" t="s">
        <v>345</v>
      </c>
      <c r="B477" s="34">
        <v>15</v>
      </c>
      <c r="C477" s="454">
        <v>15000000</v>
      </c>
      <c r="D477" s="239">
        <v>0</v>
      </c>
      <c r="E477" s="239">
        <v>0</v>
      </c>
      <c r="F477" s="239">
        <v>0</v>
      </c>
      <c r="G477" s="239">
        <v>0</v>
      </c>
      <c r="H477" s="239">
        <v>0</v>
      </c>
      <c r="I477" s="239">
        <v>0</v>
      </c>
      <c r="J477" s="239">
        <v>0</v>
      </c>
      <c r="K477" s="240">
        <f>J477+I477+H477+G477+F477+E477+D477</f>
        <v>0</v>
      </c>
      <c r="L477" s="240">
        <f>C477-K477</f>
        <v>15000000</v>
      </c>
      <c r="M477" s="15"/>
      <c r="N477" s="10">
        <f>C477-M477</f>
        <v>15000000</v>
      </c>
      <c r="O477" s="11">
        <f>N477/C477</f>
        <v>1</v>
      </c>
      <c r="P477" s="37"/>
      <c r="Q477" s="286"/>
      <c r="R477" s="109"/>
      <c r="T477" s="56"/>
      <c r="U477" s="56"/>
      <c r="V477" s="56"/>
      <c r="W477" s="56"/>
    </row>
    <row r="478" spans="1:23" s="55" customFormat="1" ht="26.25" customHeight="1" x14ac:dyDescent="0.25">
      <c r="A478" s="30" t="s">
        <v>360</v>
      </c>
      <c r="B478" s="34">
        <v>20</v>
      </c>
      <c r="C478" s="454">
        <v>20000000</v>
      </c>
      <c r="D478" s="239">
        <v>0</v>
      </c>
      <c r="E478" s="239">
        <v>0</v>
      </c>
      <c r="F478" s="239">
        <v>0</v>
      </c>
      <c r="G478" s="239">
        <v>0</v>
      </c>
      <c r="H478" s="239">
        <v>0</v>
      </c>
      <c r="I478" s="239">
        <v>0</v>
      </c>
      <c r="J478" s="239">
        <v>0</v>
      </c>
      <c r="K478" s="240">
        <f>J478+I478+H478+G478+F478+E478+D478</f>
        <v>0</v>
      </c>
      <c r="L478" s="240">
        <f>C478-K478</f>
        <v>20000000</v>
      </c>
      <c r="M478" s="15"/>
      <c r="N478" s="10">
        <f>C478-M478</f>
        <v>20000000</v>
      </c>
      <c r="O478" s="11">
        <f>N478/C478</f>
        <v>1</v>
      </c>
      <c r="P478" s="37"/>
      <c r="Q478" s="286"/>
      <c r="R478" s="109"/>
      <c r="T478" s="56"/>
      <c r="U478" s="56"/>
      <c r="V478" s="56"/>
      <c r="W478" s="56"/>
    </row>
    <row r="479" spans="1:23" ht="26.25" customHeight="1" x14ac:dyDescent="0.25">
      <c r="A479" s="900" t="s">
        <v>171</v>
      </c>
      <c r="B479" s="901"/>
      <c r="C479" s="901"/>
      <c r="D479" s="901"/>
      <c r="E479" s="901"/>
      <c r="F479" s="901"/>
      <c r="G479" s="901"/>
      <c r="H479" s="901"/>
      <c r="I479" s="901"/>
      <c r="J479" s="901"/>
      <c r="K479" s="901"/>
      <c r="L479" s="901"/>
      <c r="M479" s="901"/>
      <c r="N479" s="901"/>
      <c r="O479" s="901"/>
      <c r="P479" s="901"/>
      <c r="Q479" s="901"/>
      <c r="R479" s="902"/>
    </row>
    <row r="480" spans="1:23" s="55" customFormat="1" ht="59.25" customHeight="1" x14ac:dyDescent="0.25">
      <c r="A480" s="30" t="s">
        <v>209</v>
      </c>
      <c r="B480" s="57">
        <v>1</v>
      </c>
      <c r="C480" s="455">
        <v>26500000</v>
      </c>
      <c r="D480" s="239">
        <v>0</v>
      </c>
      <c r="E480" s="239">
        <v>0</v>
      </c>
      <c r="F480" s="239">
        <v>0</v>
      </c>
      <c r="G480" s="239">
        <v>0</v>
      </c>
      <c r="H480" s="239">
        <v>0</v>
      </c>
      <c r="I480" s="239">
        <v>0</v>
      </c>
      <c r="J480" s="239">
        <v>0</v>
      </c>
      <c r="K480" s="240">
        <f>J480+I480+H480+G480+F480+E480+D480</f>
        <v>0</v>
      </c>
      <c r="L480" s="240">
        <f>C480-K480</f>
        <v>26500000</v>
      </c>
      <c r="M480" s="15"/>
      <c r="N480" s="10">
        <f>C480-M480</f>
        <v>26500000</v>
      </c>
      <c r="O480" s="11">
        <f>N480/C480</f>
        <v>1</v>
      </c>
      <c r="P480" s="37"/>
      <c r="Q480" s="286"/>
      <c r="R480" s="192"/>
      <c r="T480" s="56"/>
      <c r="U480" s="56"/>
      <c r="V480" s="56"/>
      <c r="W480" s="56"/>
    </row>
    <row r="481" spans="1:23" ht="26.25" customHeight="1" x14ac:dyDescent="0.25">
      <c r="A481" s="900" t="s">
        <v>172</v>
      </c>
      <c r="B481" s="901"/>
      <c r="C481" s="901"/>
      <c r="D481" s="901"/>
      <c r="E481" s="901"/>
      <c r="F481" s="901"/>
      <c r="G481" s="901"/>
      <c r="H481" s="901"/>
      <c r="I481" s="901"/>
      <c r="J481" s="901"/>
      <c r="K481" s="901"/>
      <c r="L481" s="901"/>
      <c r="M481" s="901"/>
      <c r="N481" s="901"/>
      <c r="O481" s="901"/>
      <c r="P481" s="901"/>
      <c r="Q481" s="901"/>
      <c r="R481" s="902"/>
    </row>
    <row r="482" spans="1:23" s="55" customFormat="1" ht="54" customHeight="1" x14ac:dyDescent="0.25">
      <c r="A482" s="30" t="s">
        <v>572</v>
      </c>
      <c r="B482" s="34">
        <v>1</v>
      </c>
      <c r="C482" s="184">
        <v>40000000</v>
      </c>
      <c r="D482" s="239">
        <v>0</v>
      </c>
      <c r="E482" s="239">
        <v>0</v>
      </c>
      <c r="F482" s="239">
        <v>0</v>
      </c>
      <c r="G482" s="239">
        <v>0</v>
      </c>
      <c r="H482" s="239">
        <v>0</v>
      </c>
      <c r="I482" s="239">
        <v>0</v>
      </c>
      <c r="J482" s="239">
        <v>0</v>
      </c>
      <c r="K482" s="240">
        <f t="shared" ref="K482:K493" si="65">J482+I482+H482+G482+F482+E482+D482</f>
        <v>0</v>
      </c>
      <c r="L482" s="240">
        <f t="shared" ref="L482:L493" si="66">C482-K482</f>
        <v>40000000</v>
      </c>
      <c r="M482" s="15"/>
      <c r="N482" s="10">
        <f t="shared" ref="N482:N493" si="67">C482-M482</f>
        <v>40000000</v>
      </c>
      <c r="O482" s="11">
        <f t="shared" ref="O482:O493" si="68">N482/C482</f>
        <v>1</v>
      </c>
      <c r="P482" s="292"/>
      <c r="Q482" s="347"/>
      <c r="R482" s="117"/>
      <c r="T482" s="56"/>
      <c r="U482" s="56"/>
      <c r="V482" s="56"/>
      <c r="W482" s="56"/>
    </row>
    <row r="483" spans="1:23" s="55" customFormat="1" ht="26.25" customHeight="1" x14ac:dyDescent="0.25">
      <c r="A483" s="30" t="s">
        <v>173</v>
      </c>
      <c r="B483" s="34">
        <v>1</v>
      </c>
      <c r="C483" s="184">
        <v>20000000</v>
      </c>
      <c r="D483" s="239">
        <v>0</v>
      </c>
      <c r="E483" s="239">
        <v>0</v>
      </c>
      <c r="F483" s="239">
        <v>0</v>
      </c>
      <c r="G483" s="239">
        <v>0</v>
      </c>
      <c r="H483" s="239">
        <v>0</v>
      </c>
      <c r="I483" s="239">
        <v>0</v>
      </c>
      <c r="J483" s="239">
        <v>0</v>
      </c>
      <c r="K483" s="240">
        <f t="shared" si="65"/>
        <v>0</v>
      </c>
      <c r="L483" s="240">
        <f t="shared" si="66"/>
        <v>20000000</v>
      </c>
      <c r="M483" s="15"/>
      <c r="N483" s="10">
        <f t="shared" si="67"/>
        <v>20000000</v>
      </c>
      <c r="O483" s="11">
        <f t="shared" si="68"/>
        <v>1</v>
      </c>
      <c r="P483" s="292"/>
      <c r="Q483" s="286"/>
      <c r="R483" s="117"/>
      <c r="T483" s="56"/>
      <c r="U483" s="56"/>
      <c r="V483" s="56"/>
      <c r="W483" s="56"/>
    </row>
    <row r="484" spans="1:23" s="55" customFormat="1" ht="26.25" customHeight="1" x14ac:dyDescent="0.25">
      <c r="A484" s="30" t="s">
        <v>573</v>
      </c>
      <c r="B484" s="34">
        <v>1</v>
      </c>
      <c r="C484" s="184">
        <v>78000000</v>
      </c>
      <c r="D484" s="239">
        <v>0</v>
      </c>
      <c r="E484" s="239">
        <v>0</v>
      </c>
      <c r="F484" s="239">
        <v>0</v>
      </c>
      <c r="G484" s="239">
        <v>0</v>
      </c>
      <c r="H484" s="239">
        <v>0</v>
      </c>
      <c r="I484" s="239">
        <v>0</v>
      </c>
      <c r="J484" s="239">
        <v>0</v>
      </c>
      <c r="K484" s="240">
        <f>J484+I484+H484+G484+F484+E484+D484</f>
        <v>0</v>
      </c>
      <c r="L484" s="240">
        <f>C484-K484</f>
        <v>78000000</v>
      </c>
      <c r="M484" s="15"/>
      <c r="N484" s="10">
        <f>C484-M484</f>
        <v>78000000</v>
      </c>
      <c r="O484" s="11">
        <f>N484/C484</f>
        <v>1</v>
      </c>
      <c r="P484" s="313"/>
      <c r="Q484" s="7"/>
      <c r="R484" s="109"/>
      <c r="T484" s="56"/>
      <c r="U484" s="56"/>
      <c r="V484" s="56"/>
      <c r="W484" s="56"/>
    </row>
    <row r="485" spans="1:23" s="55" customFormat="1" ht="26.25" customHeight="1" x14ac:dyDescent="0.25">
      <c r="A485" s="30" t="s">
        <v>176</v>
      </c>
      <c r="B485" s="34">
        <v>1</v>
      </c>
      <c r="C485" s="455">
        <v>5000000</v>
      </c>
      <c r="D485" s="239">
        <v>0</v>
      </c>
      <c r="E485" s="239">
        <v>0</v>
      </c>
      <c r="F485" s="239">
        <v>0</v>
      </c>
      <c r="G485" s="239">
        <v>0</v>
      </c>
      <c r="H485" s="239">
        <v>0</v>
      </c>
      <c r="I485" s="239">
        <v>0</v>
      </c>
      <c r="J485" s="239">
        <v>0</v>
      </c>
      <c r="K485" s="240">
        <f>J485+I485+H485+G485+F485+E485+D485</f>
        <v>0</v>
      </c>
      <c r="L485" s="240">
        <f>C485-K485</f>
        <v>5000000</v>
      </c>
      <c r="M485" s="15"/>
      <c r="N485" s="10">
        <f>C485-M485</f>
        <v>5000000</v>
      </c>
      <c r="O485" s="11">
        <f>N485/C485</f>
        <v>1</v>
      </c>
      <c r="P485" s="313"/>
      <c r="Q485" s="7"/>
      <c r="R485" s="109"/>
      <c r="T485" s="56"/>
      <c r="U485" s="56"/>
      <c r="V485" s="56"/>
      <c r="W485" s="56"/>
    </row>
    <row r="486" spans="1:23" s="55" customFormat="1" ht="26.25" customHeight="1" x14ac:dyDescent="0.25">
      <c r="A486" s="30" t="s">
        <v>177</v>
      </c>
      <c r="B486" s="34">
        <v>1</v>
      </c>
      <c r="C486" s="184">
        <v>135000000</v>
      </c>
      <c r="D486" s="239">
        <v>0</v>
      </c>
      <c r="E486" s="239">
        <v>0</v>
      </c>
      <c r="F486" s="239">
        <v>0</v>
      </c>
      <c r="G486" s="239">
        <v>0</v>
      </c>
      <c r="H486" s="239">
        <v>0</v>
      </c>
      <c r="I486" s="239">
        <v>0</v>
      </c>
      <c r="J486" s="239">
        <v>0</v>
      </c>
      <c r="K486" s="240">
        <f>J486+I486+H486+G486+F486+E486+D486</f>
        <v>0</v>
      </c>
      <c r="L486" s="240">
        <f>C486-K486</f>
        <v>135000000</v>
      </c>
      <c r="M486" s="15"/>
      <c r="N486" s="10">
        <f>C486-M486</f>
        <v>135000000</v>
      </c>
      <c r="O486" s="11">
        <f>N486/C486</f>
        <v>1</v>
      </c>
      <c r="P486" s="313"/>
      <c r="Q486" s="7"/>
      <c r="R486" s="109"/>
      <c r="T486" s="56"/>
      <c r="U486" s="56"/>
      <c r="V486" s="56"/>
      <c r="W486" s="56"/>
    </row>
    <row r="487" spans="1:23" s="55" customFormat="1" ht="26.25" customHeight="1" x14ac:dyDescent="0.25">
      <c r="A487" s="30" t="s">
        <v>178</v>
      </c>
      <c r="B487" s="34">
        <v>8</v>
      </c>
      <c r="C487" s="184">
        <v>15000000</v>
      </c>
      <c r="D487" s="239">
        <v>0</v>
      </c>
      <c r="E487" s="239">
        <v>0</v>
      </c>
      <c r="F487" s="239">
        <v>0</v>
      </c>
      <c r="G487" s="239">
        <v>0</v>
      </c>
      <c r="H487" s="239">
        <v>0</v>
      </c>
      <c r="I487" s="239">
        <v>0</v>
      </c>
      <c r="J487" s="239">
        <v>0</v>
      </c>
      <c r="K487" s="240">
        <f>J487+I487+H487+G487+F487+E487+D487</f>
        <v>0</v>
      </c>
      <c r="L487" s="240">
        <f>C487-K487</f>
        <v>15000000</v>
      </c>
      <c r="M487" s="15"/>
      <c r="N487" s="10">
        <f>C487-M487</f>
        <v>15000000</v>
      </c>
      <c r="O487" s="11">
        <f>N487/C487</f>
        <v>1</v>
      </c>
      <c r="P487" s="313"/>
      <c r="Q487" s="7"/>
      <c r="R487" s="109"/>
      <c r="T487" s="56"/>
      <c r="U487" s="56"/>
      <c r="V487" s="56"/>
      <c r="W487" s="56"/>
    </row>
    <row r="488" spans="1:23" s="55" customFormat="1" ht="26.25" customHeight="1" x14ac:dyDescent="0.25">
      <c r="A488" s="30" t="s">
        <v>179</v>
      </c>
      <c r="B488" s="34">
        <v>1</v>
      </c>
      <c r="C488" s="184">
        <v>80000000</v>
      </c>
      <c r="D488" s="239">
        <v>0</v>
      </c>
      <c r="E488" s="239">
        <v>0</v>
      </c>
      <c r="F488" s="239">
        <v>0</v>
      </c>
      <c r="G488" s="239">
        <v>0</v>
      </c>
      <c r="H488" s="239">
        <v>0</v>
      </c>
      <c r="I488" s="239">
        <v>0</v>
      </c>
      <c r="J488" s="239">
        <v>0</v>
      </c>
      <c r="K488" s="240">
        <f t="shared" si="65"/>
        <v>0</v>
      </c>
      <c r="L488" s="240">
        <f t="shared" si="66"/>
        <v>80000000</v>
      </c>
      <c r="M488" s="15"/>
      <c r="N488" s="10">
        <f t="shared" si="67"/>
        <v>80000000</v>
      </c>
      <c r="O488" s="11">
        <f t="shared" si="68"/>
        <v>1</v>
      </c>
      <c r="P488" s="313"/>
      <c r="Q488" s="7"/>
      <c r="R488" s="109"/>
      <c r="T488" s="56"/>
      <c r="U488" s="56"/>
      <c r="V488" s="56"/>
      <c r="W488" s="56"/>
    </row>
    <row r="489" spans="1:23" s="55" customFormat="1" ht="26.25" customHeight="1" x14ac:dyDescent="0.25">
      <c r="A489" s="30" t="s">
        <v>180</v>
      </c>
      <c r="B489" s="34">
        <v>2</v>
      </c>
      <c r="C489" s="184">
        <v>220000000</v>
      </c>
      <c r="D489" s="239">
        <v>0</v>
      </c>
      <c r="E489" s="239">
        <v>0</v>
      </c>
      <c r="F489" s="239">
        <v>0</v>
      </c>
      <c r="G489" s="239">
        <v>0</v>
      </c>
      <c r="H489" s="239">
        <v>0</v>
      </c>
      <c r="I489" s="239">
        <v>0</v>
      </c>
      <c r="J489" s="239">
        <v>0</v>
      </c>
      <c r="K489" s="240">
        <f t="shared" si="65"/>
        <v>0</v>
      </c>
      <c r="L489" s="240">
        <f t="shared" si="66"/>
        <v>220000000</v>
      </c>
      <c r="M489" s="15"/>
      <c r="N489" s="10">
        <f t="shared" si="67"/>
        <v>220000000</v>
      </c>
      <c r="O489" s="11">
        <f t="shared" si="68"/>
        <v>1</v>
      </c>
      <c r="P489" s="292"/>
      <c r="Q489" s="38"/>
      <c r="R489" s="109"/>
      <c r="T489" s="56"/>
      <c r="U489" s="56"/>
      <c r="V489" s="56"/>
      <c r="W489" s="56"/>
    </row>
    <row r="490" spans="1:23" s="55" customFormat="1" ht="26.25" customHeight="1" x14ac:dyDescent="0.25">
      <c r="A490" s="30" t="s">
        <v>574</v>
      </c>
      <c r="B490" s="34">
        <v>1</v>
      </c>
      <c r="C490" s="456">
        <v>100000000</v>
      </c>
      <c r="D490" s="239">
        <v>0</v>
      </c>
      <c r="E490" s="239">
        <v>0</v>
      </c>
      <c r="F490" s="239">
        <v>0</v>
      </c>
      <c r="G490" s="239">
        <v>0</v>
      </c>
      <c r="H490" s="239">
        <v>0</v>
      </c>
      <c r="I490" s="239">
        <v>0</v>
      </c>
      <c r="J490" s="239">
        <v>0</v>
      </c>
      <c r="K490" s="240">
        <f t="shared" si="65"/>
        <v>0</v>
      </c>
      <c r="L490" s="240">
        <f t="shared" si="66"/>
        <v>100000000</v>
      </c>
      <c r="M490" s="15"/>
      <c r="N490" s="10">
        <f t="shared" si="67"/>
        <v>100000000</v>
      </c>
      <c r="O490" s="11">
        <f t="shared" si="68"/>
        <v>1</v>
      </c>
      <c r="P490" s="292"/>
      <c r="Q490" s="38"/>
      <c r="R490" s="109"/>
      <c r="T490" s="56"/>
      <c r="U490" s="56"/>
      <c r="V490" s="56"/>
      <c r="W490" s="56"/>
    </row>
    <row r="491" spans="1:23" s="55" customFormat="1" ht="26.25" customHeight="1" x14ac:dyDescent="0.25">
      <c r="A491" s="30" t="s">
        <v>562</v>
      </c>
      <c r="B491" s="34">
        <v>15</v>
      </c>
      <c r="C491" s="242">
        <v>633049959</v>
      </c>
      <c r="D491" s="239">
        <v>0</v>
      </c>
      <c r="E491" s="239">
        <v>0</v>
      </c>
      <c r="F491" s="239">
        <v>0</v>
      </c>
      <c r="G491" s="239">
        <v>0</v>
      </c>
      <c r="H491" s="239">
        <v>0</v>
      </c>
      <c r="I491" s="239">
        <v>0</v>
      </c>
      <c r="J491" s="239">
        <v>0</v>
      </c>
      <c r="K491" s="240">
        <f t="shared" si="65"/>
        <v>0</v>
      </c>
      <c r="L491" s="240">
        <f t="shared" si="66"/>
        <v>633049959</v>
      </c>
      <c r="M491" s="15"/>
      <c r="N491" s="10">
        <f t="shared" si="67"/>
        <v>633049959</v>
      </c>
      <c r="O491" s="11">
        <f t="shared" si="68"/>
        <v>1</v>
      </c>
      <c r="P491" s="292"/>
      <c r="Q491" s="7"/>
      <c r="R491" s="109"/>
      <c r="T491" s="56"/>
      <c r="U491" s="56"/>
      <c r="V491" s="56"/>
      <c r="W491" s="56"/>
    </row>
    <row r="492" spans="1:23" s="55" customFormat="1" ht="23.25" customHeight="1" x14ac:dyDescent="0.25">
      <c r="A492" s="30" t="s">
        <v>575</v>
      </c>
      <c r="B492" s="34">
        <v>8</v>
      </c>
      <c r="C492" s="242">
        <v>282354111</v>
      </c>
      <c r="D492" s="239">
        <v>0</v>
      </c>
      <c r="E492" s="239">
        <v>0</v>
      </c>
      <c r="F492" s="239">
        <v>0</v>
      </c>
      <c r="G492" s="239">
        <v>0</v>
      </c>
      <c r="H492" s="239">
        <v>0</v>
      </c>
      <c r="I492" s="239">
        <v>0</v>
      </c>
      <c r="J492" s="239">
        <v>0</v>
      </c>
      <c r="K492" s="240">
        <f t="shared" si="65"/>
        <v>0</v>
      </c>
      <c r="L492" s="240">
        <f t="shared" si="66"/>
        <v>282354111</v>
      </c>
      <c r="M492" s="15"/>
      <c r="N492" s="10">
        <f t="shared" si="67"/>
        <v>282354111</v>
      </c>
      <c r="O492" s="11">
        <f t="shared" si="68"/>
        <v>1</v>
      </c>
      <c r="P492" s="292"/>
      <c r="Q492" s="7"/>
      <c r="R492" s="117"/>
      <c r="T492" s="56"/>
      <c r="U492" s="56"/>
      <c r="V492" s="56"/>
      <c r="W492" s="56"/>
    </row>
    <row r="493" spans="1:23" s="55" customFormat="1" ht="14.25" x14ac:dyDescent="0.25">
      <c r="A493" s="30" t="s">
        <v>576</v>
      </c>
      <c r="B493" s="34">
        <v>1</v>
      </c>
      <c r="C493" s="242">
        <v>69971200</v>
      </c>
      <c r="D493" s="239">
        <v>0</v>
      </c>
      <c r="E493" s="239">
        <v>0</v>
      </c>
      <c r="F493" s="239">
        <v>0</v>
      </c>
      <c r="G493" s="239">
        <v>0</v>
      </c>
      <c r="H493" s="239">
        <v>0</v>
      </c>
      <c r="I493" s="239">
        <v>0</v>
      </c>
      <c r="J493" s="239">
        <v>0</v>
      </c>
      <c r="K493" s="240">
        <f t="shared" si="65"/>
        <v>0</v>
      </c>
      <c r="L493" s="240">
        <f t="shared" si="66"/>
        <v>69971200</v>
      </c>
      <c r="M493" s="15"/>
      <c r="N493" s="10">
        <f t="shared" si="67"/>
        <v>69971200</v>
      </c>
      <c r="O493" s="11">
        <f t="shared" si="68"/>
        <v>1</v>
      </c>
      <c r="P493" s="384"/>
      <c r="Q493" s="7"/>
      <c r="R493" s="109"/>
      <c r="T493" s="56"/>
      <c r="U493" s="56"/>
      <c r="V493" s="56"/>
      <c r="W493" s="56"/>
    </row>
    <row r="494" spans="1:23" ht="25.5" customHeight="1" x14ac:dyDescent="0.25">
      <c r="A494" s="914" t="s">
        <v>181</v>
      </c>
      <c r="B494" s="915"/>
      <c r="C494" s="217">
        <f>SUM(C474:C493)</f>
        <v>1739875270</v>
      </c>
      <c r="D494" s="217"/>
      <c r="E494" s="217"/>
      <c r="F494" s="217"/>
      <c r="G494" s="217"/>
      <c r="H494" s="217"/>
      <c r="I494" s="217"/>
      <c r="J494" s="217"/>
      <c r="K494" s="217">
        <f>SUM(K474:K493)</f>
        <v>0</v>
      </c>
      <c r="L494" s="217">
        <f>SUM(L474:L493)</f>
        <v>1739875270</v>
      </c>
      <c r="M494" s="51">
        <f>SUM(M477:M493)</f>
        <v>0</v>
      </c>
      <c r="N494" s="58">
        <f>C494-M494</f>
        <v>1739875270</v>
      </c>
      <c r="O494" s="52">
        <f>N494/C494</f>
        <v>1</v>
      </c>
      <c r="P494" s="53"/>
      <c r="Q494" s="54"/>
      <c r="R494" s="108"/>
    </row>
    <row r="495" spans="1:23" ht="32.25" customHeight="1" thickBot="1" x14ac:dyDescent="0.3">
      <c r="A495" s="916" t="s">
        <v>182</v>
      </c>
      <c r="B495" s="917"/>
      <c r="C495" s="218">
        <f>C494+C467+C458+C446+C419</f>
        <v>2922540345</v>
      </c>
      <c r="D495" s="218"/>
      <c r="E495" s="218"/>
      <c r="F495" s="218"/>
      <c r="G495" s="218"/>
      <c r="H495" s="218">
        <f>SUM(H415:H494)</f>
        <v>0</v>
      </c>
      <c r="I495" s="218"/>
      <c r="J495" s="218"/>
      <c r="K495" s="218">
        <f>K494+K467+K458+K446+K419</f>
        <v>0</v>
      </c>
      <c r="L495" s="218">
        <f>L494+L467+L458+L446+L419</f>
        <v>2922540345</v>
      </c>
      <c r="M495" s="59">
        <f>M494+M467+M458+M446+M419</f>
        <v>0</v>
      </c>
      <c r="N495" s="59">
        <f>N494+N467+N458+N446+N419</f>
        <v>2922540345</v>
      </c>
      <c r="O495" s="60">
        <f>N495/C495</f>
        <v>1</v>
      </c>
      <c r="P495" s="61"/>
      <c r="Q495" s="62"/>
      <c r="R495" s="110"/>
    </row>
    <row r="496" spans="1:23" x14ac:dyDescent="0.25">
      <c r="A496" s="63"/>
      <c r="B496" s="64"/>
      <c r="C496" s="219"/>
      <c r="D496" s="219"/>
      <c r="E496" s="219"/>
      <c r="F496" s="219"/>
      <c r="G496" s="219"/>
      <c r="H496" s="219"/>
      <c r="I496" s="219"/>
      <c r="J496" s="219"/>
      <c r="K496" s="219"/>
      <c r="L496" s="219"/>
      <c r="M496" s="65"/>
      <c r="N496" s="66"/>
      <c r="O496" s="67"/>
      <c r="P496" s="68"/>
      <c r="Q496" s="69"/>
      <c r="R496" s="69"/>
    </row>
    <row r="497" spans="1:23" x14ac:dyDescent="0.25">
      <c r="B497" s="70"/>
    </row>
    <row r="498" spans="1:23" ht="26.25" hidden="1" customHeight="1" thickBot="1" x14ac:dyDescent="0.3">
      <c r="A498" s="918" t="s">
        <v>183</v>
      </c>
      <c r="B498" s="919"/>
      <c r="C498" s="221" t="e">
        <f>C495+#REF!+C406+C396+C386+C332+C316+C306+C171+C140+C56+C31+C11+C293</f>
        <v>#REF!</v>
      </c>
      <c r="D498" s="221">
        <f t="shared" ref="D498:J498" si="69">SUM(D10:D493)</f>
        <v>0</v>
      </c>
      <c r="E498" s="221">
        <f t="shared" si="69"/>
        <v>0</v>
      </c>
      <c r="F498" s="221">
        <f t="shared" si="69"/>
        <v>0</v>
      </c>
      <c r="G498" s="221">
        <f t="shared" si="69"/>
        <v>0</v>
      </c>
      <c r="H498" s="221">
        <f t="shared" si="69"/>
        <v>0</v>
      </c>
      <c r="I498" s="221">
        <f t="shared" si="69"/>
        <v>0</v>
      </c>
      <c r="J498" s="221">
        <f t="shared" si="69"/>
        <v>0</v>
      </c>
      <c r="K498" s="221" t="e">
        <f>K495+#REF!+K406+K396+K386+K332+K316+K306+K171+K140+K56+K31+K11+K293</f>
        <v>#REF!</v>
      </c>
      <c r="L498" s="221" t="e">
        <f>L495+#REF!+L406+L396+L386+L332+L316+L306+L171+L140+L56+L31+L11+L293</f>
        <v>#REF!</v>
      </c>
      <c r="M498" s="221" t="e">
        <f>M495+#REF!+M406+M396+M386+M332+M316+M306+M171+M140+M56+M31+M11+M293</f>
        <v>#REF!</v>
      </c>
      <c r="N498" s="221" t="e">
        <f>N495+#REF!+N406+N396+N386+N332+N316+N306+N171+N140+N56+N31+N11+N293</f>
        <v>#REF!</v>
      </c>
      <c r="O498" s="75" t="e">
        <f>N498/C498</f>
        <v>#REF!</v>
      </c>
      <c r="P498" s="76"/>
      <c r="Q498" s="77"/>
      <c r="R498" s="112"/>
    </row>
    <row r="499" spans="1:23" x14ac:dyDescent="0.25">
      <c r="B499" s="70"/>
    </row>
    <row r="500" spans="1:23" ht="15" hidden="1" customHeight="1" thickBot="1" x14ac:dyDescent="0.3">
      <c r="A500" s="920" t="s">
        <v>184</v>
      </c>
      <c r="B500" s="921"/>
      <c r="C500" s="921"/>
      <c r="D500" s="921"/>
      <c r="E500" s="921"/>
      <c r="F500" s="921"/>
      <c r="G500" s="921"/>
      <c r="H500" s="921"/>
      <c r="I500" s="921"/>
      <c r="J500" s="921"/>
      <c r="K500" s="921"/>
      <c r="L500" s="921"/>
      <c r="M500" s="921"/>
      <c r="N500" s="921"/>
      <c r="O500" s="922"/>
      <c r="T500" s="50"/>
      <c r="U500" s="50"/>
      <c r="V500" s="50"/>
      <c r="W500" s="50"/>
    </row>
    <row r="501" spans="1:23" ht="39" hidden="1" thickBot="1" x14ac:dyDescent="0.3">
      <c r="A501" s="910" t="s">
        <v>8</v>
      </c>
      <c r="B501" s="911"/>
      <c r="C501" s="222" t="s">
        <v>185</v>
      </c>
      <c r="D501" s="222"/>
      <c r="E501" s="222"/>
      <c r="F501" s="222"/>
      <c r="G501" s="222"/>
      <c r="H501" s="222"/>
      <c r="I501" s="222"/>
      <c r="J501" s="222"/>
      <c r="K501" s="222"/>
      <c r="L501" s="222"/>
      <c r="M501" s="78" t="s">
        <v>186</v>
      </c>
      <c r="N501" s="79" t="s">
        <v>187</v>
      </c>
      <c r="O501" s="319" t="s">
        <v>188</v>
      </c>
      <c r="T501" s="50"/>
      <c r="U501" s="50"/>
      <c r="V501" s="50"/>
      <c r="W501" s="50"/>
    </row>
    <row r="502" spans="1:23" hidden="1" x14ac:dyDescent="0.25">
      <c r="A502" s="912" t="s">
        <v>0</v>
      </c>
      <c r="B502" s="913"/>
      <c r="C502" s="223" t="e">
        <f>#REF!</f>
        <v>#REF!</v>
      </c>
      <c r="D502" s="223"/>
      <c r="E502" s="223"/>
      <c r="F502" s="223"/>
      <c r="G502" s="223"/>
      <c r="H502" s="223"/>
      <c r="I502" s="223"/>
      <c r="J502" s="223"/>
      <c r="K502" s="223"/>
      <c r="L502" s="223"/>
      <c r="M502" s="350" t="e">
        <f>#REF!</f>
        <v>#REF!</v>
      </c>
      <c r="N502" s="351" t="e">
        <f>#REF!</f>
        <v>#REF!</v>
      </c>
      <c r="O502" s="80" t="e">
        <f t="shared" ref="O502:O519" si="70">100%-N502</f>
        <v>#REF!</v>
      </c>
      <c r="T502" s="50"/>
      <c r="U502" s="50"/>
      <c r="V502" s="50"/>
      <c r="W502" s="50"/>
    </row>
    <row r="503" spans="1:23" hidden="1" x14ac:dyDescent="0.25">
      <c r="A503" s="905" t="s">
        <v>20</v>
      </c>
      <c r="B503" s="906"/>
      <c r="C503" s="196">
        <f>C31</f>
        <v>577124283</v>
      </c>
      <c r="D503" s="196"/>
      <c r="E503" s="196"/>
      <c r="F503" s="196"/>
      <c r="G503" s="196"/>
      <c r="H503" s="196"/>
      <c r="I503" s="196"/>
      <c r="J503" s="196"/>
      <c r="K503" s="196"/>
      <c r="L503" s="196"/>
      <c r="M503" s="352">
        <f>M31</f>
        <v>0</v>
      </c>
      <c r="N503" s="353">
        <f>O31</f>
        <v>1</v>
      </c>
      <c r="O503" s="82">
        <f t="shared" si="70"/>
        <v>0</v>
      </c>
      <c r="T503" s="50"/>
      <c r="U503" s="50"/>
      <c r="V503" s="50"/>
      <c r="W503" s="50"/>
    </row>
    <row r="504" spans="1:23" hidden="1" x14ac:dyDescent="0.25">
      <c r="A504" s="905" t="s">
        <v>29</v>
      </c>
      <c r="B504" s="906"/>
      <c r="C504" s="354" t="e">
        <f>#REF!</f>
        <v>#REF!</v>
      </c>
      <c r="D504" s="354"/>
      <c r="E504" s="354"/>
      <c r="F504" s="354"/>
      <c r="G504" s="354"/>
      <c r="H504" s="354"/>
      <c r="I504" s="354"/>
      <c r="J504" s="354"/>
      <c r="K504" s="354"/>
      <c r="L504" s="354"/>
      <c r="M504" s="352" t="e">
        <f>#REF!</f>
        <v>#REF!</v>
      </c>
      <c r="N504" s="83" t="e">
        <f>#REF!</f>
        <v>#REF!</v>
      </c>
      <c r="O504" s="82" t="e">
        <f t="shared" si="70"/>
        <v>#REF!</v>
      </c>
      <c r="T504" s="50"/>
      <c r="U504" s="50"/>
      <c r="V504" s="50"/>
      <c r="W504" s="50"/>
    </row>
    <row r="505" spans="1:23" hidden="1" x14ac:dyDescent="0.25">
      <c r="A505" s="905" t="s">
        <v>35</v>
      </c>
      <c r="B505" s="906"/>
      <c r="C505" s="354" t="e">
        <f>#REF!</f>
        <v>#REF!</v>
      </c>
      <c r="D505" s="354"/>
      <c r="E505" s="354"/>
      <c r="F505" s="354"/>
      <c r="G505" s="354"/>
      <c r="H505" s="354"/>
      <c r="I505" s="354"/>
      <c r="J505" s="354"/>
      <c r="K505" s="354"/>
      <c r="L505" s="354"/>
      <c r="M505" s="352" t="e">
        <f>#REF!</f>
        <v>#REF!</v>
      </c>
      <c r="N505" s="353" t="e">
        <f>#REF!</f>
        <v>#REF!</v>
      </c>
      <c r="O505" s="82" t="e">
        <f t="shared" si="70"/>
        <v>#REF!</v>
      </c>
      <c r="T505" s="50"/>
      <c r="U505" s="50"/>
      <c r="V505" s="50"/>
      <c r="W505" s="50"/>
    </row>
    <row r="506" spans="1:23" hidden="1" x14ac:dyDescent="0.25">
      <c r="A506" s="905" t="s">
        <v>40</v>
      </c>
      <c r="B506" s="906"/>
      <c r="C506" s="354" t="e">
        <f>#REF!</f>
        <v>#REF!</v>
      </c>
      <c r="D506" s="354"/>
      <c r="E506" s="354"/>
      <c r="F506" s="354"/>
      <c r="G506" s="354"/>
      <c r="H506" s="354"/>
      <c r="I506" s="354"/>
      <c r="J506" s="354"/>
      <c r="K506" s="354"/>
      <c r="L506" s="354"/>
      <c r="M506" s="352" t="e">
        <f>#REF!</f>
        <v>#REF!</v>
      </c>
      <c r="N506" s="353" t="e">
        <f>#REF!</f>
        <v>#REF!</v>
      </c>
      <c r="O506" s="82" t="e">
        <f t="shared" si="70"/>
        <v>#REF!</v>
      </c>
      <c r="T506" s="50"/>
      <c r="U506" s="50"/>
      <c r="V506" s="50"/>
      <c r="W506" s="50"/>
    </row>
    <row r="507" spans="1:23" hidden="1" x14ac:dyDescent="0.25">
      <c r="A507" s="905" t="s">
        <v>42</v>
      </c>
      <c r="B507" s="906"/>
      <c r="C507" s="354" t="e">
        <f>#REF!</f>
        <v>#REF!</v>
      </c>
      <c r="D507" s="354"/>
      <c r="E507" s="354"/>
      <c r="F507" s="354"/>
      <c r="G507" s="354"/>
      <c r="H507" s="354"/>
      <c r="I507" s="354"/>
      <c r="J507" s="354"/>
      <c r="K507" s="354"/>
      <c r="L507" s="354"/>
      <c r="M507" s="352" t="e">
        <f>#REF!</f>
        <v>#REF!</v>
      </c>
      <c r="N507" s="353" t="e">
        <f>#REF!</f>
        <v>#REF!</v>
      </c>
      <c r="O507" s="82" t="e">
        <f t="shared" si="70"/>
        <v>#REF!</v>
      </c>
      <c r="T507" s="50"/>
      <c r="U507" s="50"/>
      <c r="V507" s="50"/>
      <c r="W507" s="50"/>
    </row>
    <row r="508" spans="1:23" hidden="1" x14ac:dyDescent="0.25">
      <c r="A508" s="905" t="s">
        <v>44</v>
      </c>
      <c r="B508" s="906"/>
      <c r="C508" s="354">
        <f>C140</f>
        <v>1215976826</v>
      </c>
      <c r="D508" s="354"/>
      <c r="E508" s="354"/>
      <c r="F508" s="354"/>
      <c r="G508" s="354"/>
      <c r="H508" s="354"/>
      <c r="I508" s="354"/>
      <c r="J508" s="354"/>
      <c r="K508" s="354"/>
      <c r="L508" s="354"/>
      <c r="M508" s="352">
        <f>M140</f>
        <v>0</v>
      </c>
      <c r="N508" s="353">
        <f>O140</f>
        <v>1</v>
      </c>
      <c r="O508" s="82">
        <f t="shared" si="70"/>
        <v>0</v>
      </c>
      <c r="T508" s="50"/>
      <c r="U508" s="50"/>
      <c r="V508" s="50"/>
      <c r="W508" s="50"/>
    </row>
    <row r="509" spans="1:23" hidden="1" x14ac:dyDescent="0.25">
      <c r="A509" s="905" t="s">
        <v>61</v>
      </c>
      <c r="B509" s="906"/>
      <c r="C509" s="354">
        <f>C171</f>
        <v>1199019245</v>
      </c>
      <c r="D509" s="354"/>
      <c r="E509" s="354"/>
      <c r="F509" s="354"/>
      <c r="G509" s="354"/>
      <c r="H509" s="354"/>
      <c r="I509" s="354"/>
      <c r="J509" s="354"/>
      <c r="K509" s="354"/>
      <c r="L509" s="354"/>
      <c r="M509" s="352">
        <f>M171</f>
        <v>0</v>
      </c>
      <c r="N509" s="353">
        <f>O171</f>
        <v>1</v>
      </c>
      <c r="O509" s="82">
        <f t="shared" si="70"/>
        <v>0</v>
      </c>
      <c r="T509" s="50"/>
      <c r="U509" s="50"/>
      <c r="V509" s="50"/>
      <c r="W509" s="50"/>
    </row>
    <row r="510" spans="1:23" hidden="1" x14ac:dyDescent="0.25">
      <c r="A510" s="905" t="s">
        <v>73</v>
      </c>
      <c r="B510" s="906"/>
      <c r="C510" s="354" t="e">
        <f>#REF!</f>
        <v>#REF!</v>
      </c>
      <c r="D510" s="354"/>
      <c r="E510" s="354"/>
      <c r="F510" s="354"/>
      <c r="G510" s="354"/>
      <c r="H510" s="354"/>
      <c r="I510" s="354"/>
      <c r="J510" s="354"/>
      <c r="K510" s="354"/>
      <c r="L510" s="354"/>
      <c r="M510" s="352" t="e">
        <f>#REF!</f>
        <v>#REF!</v>
      </c>
      <c r="N510" s="353" t="e">
        <f>#REF!</f>
        <v>#REF!</v>
      </c>
      <c r="O510" s="82" t="e">
        <f t="shared" si="70"/>
        <v>#REF!</v>
      </c>
      <c r="T510" s="50"/>
      <c r="U510" s="50"/>
      <c r="V510" s="50"/>
      <c r="W510" s="50"/>
    </row>
    <row r="511" spans="1:23" hidden="1" x14ac:dyDescent="0.25">
      <c r="A511" s="905" t="s">
        <v>189</v>
      </c>
      <c r="B511" s="906"/>
      <c r="C511" s="354">
        <f>C252</f>
        <v>318911519</v>
      </c>
      <c r="D511" s="354"/>
      <c r="E511" s="354"/>
      <c r="F511" s="354"/>
      <c r="G511" s="354"/>
      <c r="H511" s="354"/>
      <c r="I511" s="354"/>
      <c r="J511" s="354"/>
      <c r="K511" s="354"/>
      <c r="L511" s="354"/>
      <c r="M511" s="352">
        <f>M252</f>
        <v>0</v>
      </c>
      <c r="N511" s="353">
        <f>O252</f>
        <v>1</v>
      </c>
      <c r="O511" s="82">
        <f t="shared" si="70"/>
        <v>0</v>
      </c>
      <c r="T511" s="50"/>
      <c r="U511" s="50"/>
      <c r="V511" s="50"/>
      <c r="W511" s="50"/>
    </row>
    <row r="512" spans="1:23" hidden="1" x14ac:dyDescent="0.25">
      <c r="A512" s="905" t="s">
        <v>190</v>
      </c>
      <c r="B512" s="906"/>
      <c r="C512" s="354">
        <f>C222</f>
        <v>405599307</v>
      </c>
      <c r="D512" s="354"/>
      <c r="E512" s="354"/>
      <c r="F512" s="354"/>
      <c r="G512" s="354"/>
      <c r="H512" s="354"/>
      <c r="I512" s="354"/>
      <c r="J512" s="354"/>
      <c r="K512" s="354"/>
      <c r="L512" s="354"/>
      <c r="M512" s="352">
        <f>M222</f>
        <v>0</v>
      </c>
      <c r="N512" s="353">
        <f>O222</f>
        <v>1</v>
      </c>
      <c r="O512" s="82">
        <f t="shared" si="70"/>
        <v>0</v>
      </c>
      <c r="T512" s="50"/>
      <c r="U512" s="50"/>
      <c r="V512" s="50"/>
      <c r="W512" s="50"/>
    </row>
    <row r="513" spans="1:23" hidden="1" x14ac:dyDescent="0.25">
      <c r="A513" s="905" t="s">
        <v>191</v>
      </c>
      <c r="B513" s="906"/>
      <c r="C513" s="354">
        <f>C241</f>
        <v>518375015</v>
      </c>
      <c r="D513" s="354"/>
      <c r="E513" s="354"/>
      <c r="F513" s="354"/>
      <c r="G513" s="354"/>
      <c r="H513" s="354"/>
      <c r="I513" s="354"/>
      <c r="J513" s="354"/>
      <c r="K513" s="354"/>
      <c r="L513" s="354"/>
      <c r="M513" s="352">
        <f>M241</f>
        <v>0</v>
      </c>
      <c r="N513" s="353">
        <f>O241</f>
        <v>1</v>
      </c>
      <c r="O513" s="82">
        <f t="shared" si="70"/>
        <v>0</v>
      </c>
      <c r="T513" s="50"/>
      <c r="U513" s="50"/>
      <c r="V513" s="50"/>
      <c r="W513" s="50"/>
    </row>
    <row r="514" spans="1:23" hidden="1" x14ac:dyDescent="0.25">
      <c r="A514" s="905" t="s">
        <v>192</v>
      </c>
      <c r="B514" s="906"/>
      <c r="C514" s="354">
        <f>C261</f>
        <v>65322016</v>
      </c>
      <c r="D514" s="354"/>
      <c r="E514" s="354"/>
      <c r="F514" s="354"/>
      <c r="G514" s="354"/>
      <c r="H514" s="354"/>
      <c r="I514" s="354"/>
      <c r="J514" s="354"/>
      <c r="K514" s="354"/>
      <c r="L514" s="354"/>
      <c r="M514" s="352">
        <f>M261</f>
        <v>0</v>
      </c>
      <c r="N514" s="353">
        <f>O261</f>
        <v>1</v>
      </c>
      <c r="O514" s="82">
        <f t="shared" si="70"/>
        <v>0</v>
      </c>
      <c r="T514" s="50"/>
      <c r="U514" s="50"/>
      <c r="V514" s="50"/>
      <c r="W514" s="50"/>
    </row>
    <row r="515" spans="1:23" ht="15" hidden="1" customHeight="1" x14ac:dyDescent="0.25">
      <c r="A515" s="905" t="s">
        <v>193</v>
      </c>
      <c r="B515" s="906"/>
      <c r="C515" s="354" t="e">
        <v>#NAME?</v>
      </c>
      <c r="D515" s="354"/>
      <c r="E515" s="354"/>
      <c r="F515" s="354"/>
      <c r="G515" s="354"/>
      <c r="H515" s="354"/>
      <c r="I515" s="354"/>
      <c r="J515" s="354"/>
      <c r="K515" s="354"/>
      <c r="L515" s="354"/>
      <c r="M515" s="352"/>
      <c r="N515" s="353" t="e">
        <v>#NAME?</v>
      </c>
      <c r="O515" s="82" t="e">
        <f t="shared" si="70"/>
        <v>#NAME?</v>
      </c>
      <c r="T515" s="50"/>
      <c r="U515" s="50"/>
      <c r="V515" s="50"/>
      <c r="W515" s="50"/>
    </row>
    <row r="516" spans="1:23" hidden="1" x14ac:dyDescent="0.25">
      <c r="A516" s="905" t="s">
        <v>194</v>
      </c>
      <c r="B516" s="906"/>
      <c r="C516" s="354" t="e">
        <f>#REF!</f>
        <v>#REF!</v>
      </c>
      <c r="D516" s="354"/>
      <c r="E516" s="354"/>
      <c r="F516" s="354"/>
      <c r="G516" s="354"/>
      <c r="H516" s="354"/>
      <c r="I516" s="354"/>
      <c r="J516" s="354"/>
      <c r="K516" s="354"/>
      <c r="L516" s="354"/>
      <c r="M516" s="352" t="e">
        <f>#REF!</f>
        <v>#REF!</v>
      </c>
      <c r="N516" s="353" t="e">
        <f>#REF!</f>
        <v>#REF!</v>
      </c>
      <c r="O516" s="82" t="e">
        <f t="shared" si="70"/>
        <v>#REF!</v>
      </c>
      <c r="T516" s="50"/>
      <c r="U516" s="50"/>
      <c r="V516" s="50"/>
      <c r="W516" s="50"/>
    </row>
    <row r="517" spans="1:23" hidden="1" x14ac:dyDescent="0.25">
      <c r="A517" s="905" t="s">
        <v>115</v>
      </c>
      <c r="B517" s="906"/>
      <c r="C517" s="354">
        <f>C306</f>
        <v>82185833</v>
      </c>
      <c r="D517" s="354"/>
      <c r="E517" s="354"/>
      <c r="F517" s="354"/>
      <c r="G517" s="354"/>
      <c r="H517" s="354"/>
      <c r="I517" s="354"/>
      <c r="J517" s="354"/>
      <c r="K517" s="354"/>
      <c r="L517" s="354"/>
      <c r="M517" s="352">
        <f>M306</f>
        <v>0</v>
      </c>
      <c r="N517" s="353">
        <f>O306</f>
        <v>1</v>
      </c>
      <c r="O517" s="82">
        <f t="shared" si="70"/>
        <v>0</v>
      </c>
      <c r="P517" s="84"/>
      <c r="T517" s="50"/>
      <c r="U517" s="50"/>
      <c r="V517" s="50"/>
      <c r="W517" s="50"/>
    </row>
    <row r="518" spans="1:23" hidden="1" x14ac:dyDescent="0.25">
      <c r="A518" s="905" t="s">
        <v>195</v>
      </c>
      <c r="B518" s="906"/>
      <c r="C518" s="354">
        <f>C332</f>
        <v>279544392</v>
      </c>
      <c r="D518" s="354"/>
      <c r="E518" s="354"/>
      <c r="F518" s="354"/>
      <c r="G518" s="354"/>
      <c r="H518" s="354"/>
      <c r="I518" s="354"/>
      <c r="J518" s="354"/>
      <c r="K518" s="354"/>
      <c r="L518" s="354"/>
      <c r="M518" s="352">
        <f>M332</f>
        <v>0</v>
      </c>
      <c r="N518" s="353">
        <f>O386</f>
        <v>1</v>
      </c>
      <c r="O518" s="82">
        <f t="shared" si="70"/>
        <v>0</v>
      </c>
      <c r="T518" s="50"/>
      <c r="U518" s="50"/>
      <c r="V518" s="50"/>
      <c r="W518" s="50"/>
    </row>
    <row r="519" spans="1:23" hidden="1" x14ac:dyDescent="0.25">
      <c r="A519" s="905" t="s">
        <v>130</v>
      </c>
      <c r="B519" s="907"/>
      <c r="C519" s="354">
        <f>C386</f>
        <v>1435115077</v>
      </c>
      <c r="D519" s="354"/>
      <c r="E519" s="354"/>
      <c r="F519" s="354"/>
      <c r="G519" s="354"/>
      <c r="H519" s="354"/>
      <c r="I519" s="354"/>
      <c r="J519" s="354"/>
      <c r="K519" s="354"/>
      <c r="L519" s="354"/>
      <c r="M519" s="352">
        <f>M386</f>
        <v>0</v>
      </c>
      <c r="N519" s="353">
        <f>O386</f>
        <v>1</v>
      </c>
      <c r="O519" s="82">
        <f t="shared" si="70"/>
        <v>0</v>
      </c>
      <c r="T519" s="50"/>
      <c r="U519" s="50"/>
      <c r="V519" s="50"/>
      <c r="W519" s="50"/>
    </row>
    <row r="520" spans="1:23" ht="13.5" hidden="1" thickBot="1" x14ac:dyDescent="0.3">
      <c r="A520" s="905" t="s">
        <v>196</v>
      </c>
      <c r="B520" s="906"/>
      <c r="C520" s="354">
        <f>C495</f>
        <v>2922540345</v>
      </c>
      <c r="D520" s="354"/>
      <c r="E520" s="354"/>
      <c r="F520" s="354"/>
      <c r="G520" s="354"/>
      <c r="H520" s="354"/>
      <c r="I520" s="354"/>
      <c r="J520" s="354"/>
      <c r="K520" s="354"/>
      <c r="L520" s="354"/>
      <c r="M520" s="352">
        <f>M495</f>
        <v>0</v>
      </c>
      <c r="N520" s="353">
        <f>O495</f>
        <v>1</v>
      </c>
      <c r="O520" s="82">
        <f>100%-N520</f>
        <v>0</v>
      </c>
      <c r="T520" s="50"/>
      <c r="U520" s="50"/>
      <c r="V520" s="50"/>
      <c r="W520" s="50"/>
    </row>
    <row r="521" spans="1:23" ht="15.75" hidden="1" customHeight="1" x14ac:dyDescent="0.25">
      <c r="A521" s="905" t="s">
        <v>197</v>
      </c>
      <c r="B521" s="906"/>
      <c r="C521" s="354" t="e">
        <f>#REF!</f>
        <v>#REF!</v>
      </c>
      <c r="D521" s="354"/>
      <c r="E521" s="354"/>
      <c r="F521" s="354"/>
      <c r="G521" s="354"/>
      <c r="H521" s="354"/>
      <c r="I521" s="354"/>
      <c r="J521" s="354"/>
      <c r="K521" s="354"/>
      <c r="L521" s="354"/>
      <c r="M521" s="352"/>
      <c r="N521" s="355" t="e">
        <f>#REF!</f>
        <v>#REF!</v>
      </c>
      <c r="O521" s="82" t="e">
        <v>#NAME?</v>
      </c>
      <c r="T521" s="50"/>
      <c r="U521" s="50"/>
      <c r="V521" s="50"/>
      <c r="W521" s="50"/>
    </row>
    <row r="522" spans="1:23" ht="15.75" hidden="1" customHeight="1" x14ac:dyDescent="0.25">
      <c r="A522" s="908" t="s">
        <v>198</v>
      </c>
      <c r="B522" s="909"/>
      <c r="C522" s="356" t="e">
        <f>#REF!</f>
        <v>#REF!</v>
      </c>
      <c r="D522" s="356"/>
      <c r="E522" s="356"/>
      <c r="F522" s="356"/>
      <c r="G522" s="356"/>
      <c r="H522" s="356"/>
      <c r="I522" s="356"/>
      <c r="J522" s="356"/>
      <c r="K522" s="356"/>
      <c r="L522" s="356"/>
      <c r="M522" s="357"/>
      <c r="N522" s="358" t="e">
        <f>#REF!</f>
        <v>#REF!</v>
      </c>
      <c r="O522" s="88" t="e">
        <v>#NAME?</v>
      </c>
      <c r="T522" s="50"/>
      <c r="U522" s="50"/>
      <c r="V522" s="50"/>
      <c r="W522" s="50"/>
    </row>
    <row r="523" spans="1:23" ht="22.5" hidden="1" customHeight="1" thickBot="1" x14ac:dyDescent="0.3">
      <c r="A523" s="903" t="s">
        <v>183</v>
      </c>
      <c r="B523" s="904"/>
      <c r="C523" s="226" t="e">
        <f>C502+C503+C504+C505+C506+C507+C508+C509+C510+C511+C512+C513+C514+C516+C517+C518+C519+C520</f>
        <v>#REF!</v>
      </c>
      <c r="D523" s="226"/>
      <c r="E523" s="226"/>
      <c r="F523" s="226"/>
      <c r="G523" s="226"/>
      <c r="H523" s="226"/>
      <c r="I523" s="226"/>
      <c r="J523" s="226"/>
      <c r="K523" s="226"/>
      <c r="L523" s="226"/>
      <c r="M523" s="89" t="e">
        <f>M502+M503+M504+M505+M506+M507+M508+M509+M510+M511+M512+M513+M514+M516+M517+M518+M519+M520</f>
        <v>#REF!</v>
      </c>
      <c r="N523" s="90" t="e">
        <f>O498</f>
        <v>#REF!</v>
      </c>
      <c r="O523" s="91" t="e">
        <f>100%-N523</f>
        <v>#REF!</v>
      </c>
      <c r="T523" s="50"/>
      <c r="U523" s="50"/>
      <c r="V523" s="50"/>
      <c r="W523" s="50"/>
    </row>
    <row r="524" spans="1:23" hidden="1" x14ac:dyDescent="0.25"/>
    <row r="525" spans="1:23" hidden="1" x14ac:dyDescent="0.25"/>
    <row r="526" spans="1:23" hidden="1" x14ac:dyDescent="0.25"/>
    <row r="527" spans="1:23" hidden="1" x14ac:dyDescent="0.25"/>
    <row r="528" spans="1:23" hidden="1" x14ac:dyDescent="0.25"/>
    <row r="529" spans="1:26" hidden="1" x14ac:dyDescent="0.25">
      <c r="C529" s="348">
        <f>D498+E498+F498+G498+H498+I498+J498</f>
        <v>0</v>
      </c>
      <c r="K529" s="348" t="e">
        <f>M498+N498</f>
        <v>#REF!</v>
      </c>
    </row>
    <row r="530" spans="1:26" hidden="1" x14ac:dyDescent="0.25">
      <c r="N530" s="359"/>
    </row>
    <row r="531" spans="1:26" hidden="1" x14ac:dyDescent="0.25">
      <c r="B531" s="50"/>
      <c r="C531" s="348" t="e">
        <f>C529+L498</f>
        <v>#REF!</v>
      </c>
      <c r="D531" s="50"/>
      <c r="E531" s="50"/>
      <c r="F531" s="50"/>
      <c r="G531" s="50"/>
      <c r="H531" s="50"/>
      <c r="I531" s="50"/>
      <c r="J531" s="50"/>
      <c r="K531" s="359" t="e">
        <f>K498-K529</f>
        <v>#REF!</v>
      </c>
      <c r="L531" s="50"/>
      <c r="M531" s="338"/>
      <c r="N531" s="359" t="e">
        <f>N498+M498</f>
        <v>#REF!</v>
      </c>
      <c r="P531" s="50"/>
      <c r="R531" s="50"/>
      <c r="T531" s="50"/>
      <c r="U531" s="50"/>
      <c r="V531" s="50"/>
      <c r="W531" s="50"/>
    </row>
    <row r="532" spans="1:26" hidden="1" x14ac:dyDescent="0.25"/>
    <row r="533" spans="1:26" ht="13.5" hidden="1" thickBot="1" x14ac:dyDescent="0.3"/>
    <row r="534" spans="1:26" ht="13.5" hidden="1" customHeight="1" thickBot="1" x14ac:dyDescent="0.3">
      <c r="A534" s="927" t="s">
        <v>184</v>
      </c>
      <c r="B534" s="928"/>
      <c r="C534" s="928"/>
      <c r="D534" s="928"/>
      <c r="E534" s="928"/>
      <c r="F534" s="928"/>
      <c r="G534" s="928"/>
      <c r="H534" s="928"/>
      <c r="I534" s="928"/>
      <c r="J534" s="929"/>
    </row>
    <row r="535" spans="1:26" ht="45" hidden="1" x14ac:dyDescent="0.25">
      <c r="A535" s="934" t="s">
        <v>399</v>
      </c>
      <c r="B535" s="935"/>
      <c r="C535" s="256" t="s">
        <v>398</v>
      </c>
      <c r="D535" s="256" t="s">
        <v>400</v>
      </c>
      <c r="E535" s="256" t="s">
        <v>403</v>
      </c>
      <c r="F535" s="271" t="s">
        <v>14</v>
      </c>
      <c r="G535" s="256" t="s">
        <v>404</v>
      </c>
      <c r="H535" s="257" t="s">
        <v>186</v>
      </c>
      <c r="I535" s="271" t="s">
        <v>14</v>
      </c>
      <c r="J535" s="268" t="s">
        <v>188</v>
      </c>
      <c r="L535" s="288" t="s">
        <v>407</v>
      </c>
      <c r="M535" s="288" t="s">
        <v>408</v>
      </c>
      <c r="N535" s="348"/>
      <c r="O535" s="348"/>
      <c r="P535" s="349"/>
      <c r="Q535" s="72"/>
      <c r="R535" s="73"/>
      <c r="S535" s="74"/>
      <c r="T535" s="50"/>
      <c r="U535" s="111"/>
      <c r="V535" s="50"/>
      <c r="X535" s="338"/>
      <c r="Y535" s="338"/>
      <c r="Z535" s="338"/>
    </row>
    <row r="536" spans="1:26" ht="34.5" hidden="1" customHeight="1" x14ac:dyDescent="0.25">
      <c r="A536" s="830" t="s">
        <v>370</v>
      </c>
      <c r="B536" s="831" t="s">
        <v>371</v>
      </c>
      <c r="C536" s="258" t="s">
        <v>386</v>
      </c>
      <c r="D536" s="274">
        <f>C222</f>
        <v>405599307</v>
      </c>
      <c r="E536" s="274">
        <f>M222</f>
        <v>0</v>
      </c>
      <c r="F536" s="274">
        <f>D536-E536</f>
        <v>405599307</v>
      </c>
      <c r="G536" s="936">
        <f>C222+C241+C252+C261+C278</f>
        <v>1622907421</v>
      </c>
      <c r="H536" s="923">
        <f>M222+M241+M252+M261+M278</f>
        <v>0</v>
      </c>
      <c r="I536" s="923">
        <f>G536-H536</f>
        <v>1622907421</v>
      </c>
      <c r="J536" s="803">
        <f>H536/G536</f>
        <v>0</v>
      </c>
      <c r="L536" s="827">
        <v>133135000</v>
      </c>
      <c r="M536" s="827">
        <f>G536-L536</f>
        <v>1489772421</v>
      </c>
      <c r="O536" s="348"/>
      <c r="P536" s="349"/>
      <c r="Q536" s="72"/>
      <c r="R536" s="73"/>
      <c r="S536" s="74"/>
      <c r="T536" s="50"/>
      <c r="U536" s="111"/>
      <c r="V536" s="50"/>
      <c r="X536" s="338"/>
      <c r="Y536" s="338"/>
      <c r="Z536" s="338"/>
    </row>
    <row r="537" spans="1:26" ht="34.5" hidden="1" customHeight="1" x14ac:dyDescent="0.25">
      <c r="A537" s="830"/>
      <c r="B537" s="831"/>
      <c r="C537" s="258" t="s">
        <v>387</v>
      </c>
      <c r="D537" s="274">
        <f>C252</f>
        <v>318911519</v>
      </c>
      <c r="E537" s="274">
        <f>M252</f>
        <v>0</v>
      </c>
      <c r="F537" s="274">
        <f t="shared" ref="F537:F555" si="71">D537-E537</f>
        <v>318911519</v>
      </c>
      <c r="G537" s="938"/>
      <c r="H537" s="932"/>
      <c r="I537" s="932"/>
      <c r="J537" s="942"/>
      <c r="L537" s="827"/>
      <c r="M537" s="827"/>
      <c r="O537" s="348"/>
      <c r="P537" s="349"/>
      <c r="Q537" s="72"/>
      <c r="R537" s="73"/>
      <c r="S537" s="74"/>
      <c r="T537" s="50"/>
      <c r="U537" s="111"/>
      <c r="V537" s="50"/>
      <c r="X537" s="338"/>
      <c r="Y537" s="338"/>
      <c r="Z537" s="338"/>
    </row>
    <row r="538" spans="1:26" ht="34.5" hidden="1" customHeight="1" x14ac:dyDescent="0.25">
      <c r="A538" s="830"/>
      <c r="B538" s="831"/>
      <c r="C538" s="258" t="s">
        <v>405</v>
      </c>
      <c r="D538" s="274">
        <f>C261</f>
        <v>65322016</v>
      </c>
      <c r="E538" s="274">
        <f>M261</f>
        <v>0</v>
      </c>
      <c r="F538" s="274">
        <f t="shared" si="71"/>
        <v>65322016</v>
      </c>
      <c r="G538" s="938"/>
      <c r="H538" s="932"/>
      <c r="I538" s="932"/>
      <c r="J538" s="942"/>
      <c r="L538" s="827"/>
      <c r="M538" s="827"/>
      <c r="N538" s="72">
        <v>1543007427</v>
      </c>
      <c r="O538" s="348"/>
      <c r="P538" s="349"/>
      <c r="Q538" s="72"/>
      <c r="R538" s="73"/>
      <c r="S538" s="74"/>
      <c r="T538" s="50"/>
      <c r="U538" s="111"/>
      <c r="V538" s="50"/>
      <c r="X538" s="338"/>
      <c r="Y538" s="338"/>
      <c r="Z538" s="338"/>
    </row>
    <row r="539" spans="1:26" ht="34.5" hidden="1" customHeight="1" x14ac:dyDescent="0.25">
      <c r="A539" s="830"/>
      <c r="B539" s="831"/>
      <c r="C539" s="258" t="s">
        <v>388</v>
      </c>
      <c r="D539" s="274">
        <f>C241</f>
        <v>518375015</v>
      </c>
      <c r="E539" s="274">
        <f>M241</f>
        <v>0</v>
      </c>
      <c r="F539" s="274">
        <f t="shared" si="71"/>
        <v>518375015</v>
      </c>
      <c r="G539" s="938"/>
      <c r="H539" s="932"/>
      <c r="I539" s="932"/>
      <c r="J539" s="942"/>
      <c r="L539" s="827"/>
      <c r="M539" s="827"/>
      <c r="O539" s="348"/>
      <c r="P539" s="349"/>
      <c r="Q539" s="72"/>
      <c r="R539" s="73"/>
      <c r="S539" s="74"/>
      <c r="T539" s="50"/>
      <c r="U539" s="111"/>
      <c r="V539" s="50"/>
      <c r="X539" s="338"/>
      <c r="Y539" s="338"/>
      <c r="Z539" s="338"/>
    </row>
    <row r="540" spans="1:26" ht="34.5" hidden="1" customHeight="1" x14ac:dyDescent="0.25">
      <c r="A540" s="830"/>
      <c r="B540" s="831"/>
      <c r="C540" s="258" t="s">
        <v>389</v>
      </c>
      <c r="D540" s="274">
        <f>C278</f>
        <v>314699564</v>
      </c>
      <c r="E540" s="274">
        <f>M278</f>
        <v>0</v>
      </c>
      <c r="F540" s="274">
        <f t="shared" si="71"/>
        <v>314699564</v>
      </c>
      <c r="G540" s="937"/>
      <c r="H540" s="924"/>
      <c r="I540" s="924"/>
      <c r="J540" s="804"/>
      <c r="L540" s="827"/>
      <c r="M540" s="827"/>
      <c r="O540" s="348"/>
      <c r="P540" s="349"/>
      <c r="Q540" s="72"/>
      <c r="R540" s="73"/>
      <c r="S540" s="74"/>
      <c r="T540" s="50"/>
      <c r="U540" s="111"/>
      <c r="V540" s="50"/>
      <c r="X540" s="338"/>
      <c r="Y540" s="338"/>
      <c r="Z540" s="338"/>
    </row>
    <row r="541" spans="1:26" ht="22.5" hidden="1" customHeight="1" x14ac:dyDescent="0.25">
      <c r="A541" s="832" t="s">
        <v>372</v>
      </c>
      <c r="B541" s="833" t="s">
        <v>373</v>
      </c>
      <c r="C541" s="259" t="s">
        <v>9</v>
      </c>
      <c r="D541" s="275">
        <f>C11</f>
        <v>116371672</v>
      </c>
      <c r="E541" s="275">
        <f>M11</f>
        <v>0</v>
      </c>
      <c r="F541" s="279">
        <f t="shared" si="71"/>
        <v>116371672</v>
      </c>
      <c r="G541" s="939">
        <f>C11+C31+C56</f>
        <v>1585406453</v>
      </c>
      <c r="H541" s="805">
        <f>M11+M31+M56</f>
        <v>0</v>
      </c>
      <c r="I541" s="805">
        <f>G541-H541</f>
        <v>1585406453</v>
      </c>
      <c r="J541" s="807">
        <f>H536/G536</f>
        <v>0</v>
      </c>
      <c r="L541" s="827">
        <v>135500000</v>
      </c>
      <c r="M541" s="827">
        <f>I541-L541</f>
        <v>1449906453</v>
      </c>
      <c r="N541" s="348"/>
      <c r="O541" s="348"/>
      <c r="P541" s="349"/>
      <c r="Q541" s="72"/>
      <c r="R541" s="73"/>
      <c r="S541" s="74"/>
      <c r="T541" s="50"/>
      <c r="U541" s="111"/>
      <c r="V541" s="50"/>
      <c r="X541" s="338"/>
      <c r="Y541" s="338"/>
      <c r="Z541" s="338"/>
    </row>
    <row r="542" spans="1:26" ht="22.5" hidden="1" customHeight="1" x14ac:dyDescent="0.25">
      <c r="A542" s="832"/>
      <c r="B542" s="833"/>
      <c r="C542" s="260" t="s">
        <v>21</v>
      </c>
      <c r="D542" s="276">
        <f>C31</f>
        <v>577124283</v>
      </c>
      <c r="E542" s="276">
        <f>M31</f>
        <v>0</v>
      </c>
      <c r="F542" s="279">
        <f t="shared" si="71"/>
        <v>577124283</v>
      </c>
      <c r="G542" s="940"/>
      <c r="H542" s="933"/>
      <c r="I542" s="933"/>
      <c r="J542" s="943"/>
      <c r="L542" s="827"/>
      <c r="M542" s="827"/>
      <c r="N542" s="348"/>
      <c r="O542" s="348"/>
      <c r="P542" s="349"/>
      <c r="Q542" s="72"/>
      <c r="R542" s="73"/>
      <c r="S542" s="74"/>
      <c r="T542" s="50"/>
      <c r="U542" s="111"/>
      <c r="V542" s="50"/>
      <c r="X542" s="338"/>
      <c r="Y542" s="338"/>
      <c r="Z542" s="338"/>
    </row>
    <row r="543" spans="1:26" ht="22.5" hidden="1" customHeight="1" x14ac:dyDescent="0.25">
      <c r="A543" s="832"/>
      <c r="B543" s="833"/>
      <c r="C543" s="260" t="s">
        <v>29</v>
      </c>
      <c r="D543" s="925">
        <f>C56</f>
        <v>891910498</v>
      </c>
      <c r="E543" s="925">
        <f>M56</f>
        <v>0</v>
      </c>
      <c r="F543" s="930">
        <f t="shared" si="71"/>
        <v>891910498</v>
      </c>
      <c r="G543" s="940"/>
      <c r="H543" s="933"/>
      <c r="I543" s="933"/>
      <c r="J543" s="943"/>
      <c r="L543" s="827"/>
      <c r="M543" s="827"/>
      <c r="N543" s="348"/>
      <c r="O543" s="348"/>
      <c r="P543" s="349"/>
      <c r="Q543" s="72"/>
      <c r="R543" s="73"/>
      <c r="S543" s="74"/>
      <c r="T543" s="50"/>
      <c r="U543" s="111"/>
      <c r="V543" s="50"/>
      <c r="X543" s="338"/>
      <c r="Y543" s="338"/>
      <c r="Z543" s="338"/>
    </row>
    <row r="544" spans="1:26" ht="22.5" hidden="1" customHeight="1" x14ac:dyDescent="0.25">
      <c r="A544" s="832"/>
      <c r="B544" s="833"/>
      <c r="C544" s="261" t="s">
        <v>390</v>
      </c>
      <c r="D544" s="926"/>
      <c r="E544" s="926"/>
      <c r="F544" s="931"/>
      <c r="G544" s="941"/>
      <c r="H544" s="806"/>
      <c r="I544" s="806"/>
      <c r="J544" s="808"/>
      <c r="L544" s="827"/>
      <c r="M544" s="827"/>
      <c r="N544" s="348"/>
      <c r="O544" s="348"/>
      <c r="P544" s="349"/>
      <c r="Q544" s="72"/>
      <c r="R544" s="73"/>
      <c r="S544" s="74"/>
      <c r="T544" s="50"/>
      <c r="U544" s="111"/>
      <c r="V544" s="50"/>
      <c r="X544" s="338"/>
      <c r="Y544" s="338"/>
      <c r="Z544" s="338"/>
    </row>
    <row r="545" spans="1:26" ht="26.25" hidden="1" customHeight="1" x14ac:dyDescent="0.25">
      <c r="A545" s="830" t="s">
        <v>374</v>
      </c>
      <c r="B545" s="831" t="s">
        <v>375</v>
      </c>
      <c r="C545" s="262" t="s">
        <v>38</v>
      </c>
      <c r="D545" s="277">
        <f>C396</f>
        <v>169910862</v>
      </c>
      <c r="E545" s="277">
        <f>M396</f>
        <v>0</v>
      </c>
      <c r="F545" s="274">
        <f t="shared" si="71"/>
        <v>169910862</v>
      </c>
      <c r="G545" s="936">
        <f>C396+C406</f>
        <v>286282529</v>
      </c>
      <c r="H545" s="923">
        <f>M396+M406</f>
        <v>0</v>
      </c>
      <c r="I545" s="923">
        <f>G545-H545</f>
        <v>286282529</v>
      </c>
      <c r="J545" s="803">
        <f>H545/G545</f>
        <v>0</v>
      </c>
      <c r="L545" s="801">
        <v>0</v>
      </c>
      <c r="M545" s="801">
        <f>I545-L545</f>
        <v>286282529</v>
      </c>
      <c r="N545" s="348"/>
      <c r="O545" s="348"/>
      <c r="P545" s="349"/>
      <c r="Q545" s="72"/>
      <c r="R545" s="73"/>
      <c r="S545" s="74"/>
      <c r="T545" s="50"/>
      <c r="U545" s="111"/>
      <c r="V545" s="50"/>
      <c r="X545" s="338"/>
      <c r="Y545" s="338"/>
      <c r="Z545" s="338"/>
    </row>
    <row r="546" spans="1:26" ht="26.25" hidden="1" customHeight="1" x14ac:dyDescent="0.25">
      <c r="A546" s="830"/>
      <c r="B546" s="831"/>
      <c r="C546" s="262" t="s">
        <v>391</v>
      </c>
      <c r="D546" s="277">
        <f>C406</f>
        <v>116371667</v>
      </c>
      <c r="E546" s="277">
        <f>M406</f>
        <v>0</v>
      </c>
      <c r="F546" s="274">
        <f t="shared" si="71"/>
        <v>116371667</v>
      </c>
      <c r="G546" s="937"/>
      <c r="H546" s="924"/>
      <c r="I546" s="924"/>
      <c r="J546" s="804"/>
      <c r="L546" s="802"/>
      <c r="M546" s="802"/>
      <c r="N546" s="348"/>
      <c r="O546" s="348"/>
      <c r="P546" s="349"/>
      <c r="Q546" s="72"/>
      <c r="R546" s="73"/>
      <c r="S546" s="74"/>
      <c r="T546" s="50"/>
      <c r="U546" s="111"/>
      <c r="V546" s="50"/>
      <c r="X546" s="338"/>
      <c r="Y546" s="338"/>
      <c r="Z546" s="338"/>
    </row>
    <row r="547" spans="1:26" ht="42" hidden="1" customHeight="1" x14ac:dyDescent="0.25">
      <c r="A547" s="832" t="s">
        <v>376</v>
      </c>
      <c r="B547" s="833" t="s">
        <v>377</v>
      </c>
      <c r="C547" s="260" t="s">
        <v>44</v>
      </c>
      <c r="D547" s="276">
        <f>C140</f>
        <v>1215976826</v>
      </c>
      <c r="E547" s="276">
        <f>M140</f>
        <v>0</v>
      </c>
      <c r="F547" s="279">
        <f t="shared" si="71"/>
        <v>1215976826</v>
      </c>
      <c r="G547" s="939">
        <f>C140</f>
        <v>1215976826</v>
      </c>
      <c r="H547" s="805">
        <f>M140</f>
        <v>0</v>
      </c>
      <c r="I547" s="805">
        <f>G547-H547</f>
        <v>1215976826</v>
      </c>
      <c r="J547" s="807">
        <f>H547/G547</f>
        <v>0</v>
      </c>
      <c r="L547" s="801">
        <v>185414204</v>
      </c>
      <c r="M547" s="801">
        <f>I547-L547</f>
        <v>1030562622</v>
      </c>
      <c r="N547" s="348"/>
      <c r="O547" s="348"/>
      <c r="P547" s="349"/>
      <c r="Q547" s="72"/>
      <c r="R547" s="73"/>
      <c r="S547" s="74"/>
      <c r="T547" s="50"/>
      <c r="U547" s="111"/>
      <c r="V547" s="50"/>
      <c r="X547" s="338"/>
      <c r="Y547" s="338"/>
      <c r="Z547" s="338"/>
    </row>
    <row r="548" spans="1:26" ht="42" hidden="1" customHeight="1" x14ac:dyDescent="0.25">
      <c r="A548" s="832"/>
      <c r="B548" s="833"/>
      <c r="C548" s="260" t="s">
        <v>392</v>
      </c>
      <c r="D548" s="278">
        <v>0</v>
      </c>
      <c r="E548" s="278">
        <v>0</v>
      </c>
      <c r="F548" s="279">
        <f t="shared" si="71"/>
        <v>0</v>
      </c>
      <c r="G548" s="941"/>
      <c r="H548" s="806"/>
      <c r="I548" s="806"/>
      <c r="J548" s="808"/>
      <c r="L548" s="802"/>
      <c r="M548" s="802"/>
      <c r="N548" s="348"/>
      <c r="O548" s="348"/>
      <c r="P548" s="349"/>
      <c r="Q548" s="72"/>
      <c r="R548" s="73"/>
      <c r="S548" s="74"/>
      <c r="T548" s="50"/>
      <c r="U548" s="111"/>
      <c r="V548" s="50"/>
      <c r="X548" s="338"/>
      <c r="Y548" s="338"/>
      <c r="Z548" s="338"/>
    </row>
    <row r="549" spans="1:26" ht="62.25" hidden="1" customHeight="1" x14ac:dyDescent="0.25">
      <c r="A549" s="323" t="s">
        <v>378</v>
      </c>
      <c r="B549" s="324" t="s">
        <v>379</v>
      </c>
      <c r="C549" s="262" t="s">
        <v>393</v>
      </c>
      <c r="D549" s="277" t="e">
        <f>C171+#REF!</f>
        <v>#REF!</v>
      </c>
      <c r="E549" s="277">
        <f>M171</f>
        <v>0</v>
      </c>
      <c r="F549" s="274" t="e">
        <f t="shared" si="71"/>
        <v>#REF!</v>
      </c>
      <c r="G549" s="280" t="e">
        <f>C171+#REF!</f>
        <v>#REF!</v>
      </c>
      <c r="H549" s="263">
        <f>M171</f>
        <v>0</v>
      </c>
      <c r="I549" s="272" t="e">
        <f>G549-H549</f>
        <v>#REF!</v>
      </c>
      <c r="J549" s="269" t="e">
        <f>H549/G549</f>
        <v>#REF!</v>
      </c>
      <c r="L549" s="177">
        <v>207000000</v>
      </c>
      <c r="M549" s="177" t="e">
        <f>I549-L549</f>
        <v>#REF!</v>
      </c>
      <c r="N549" s="348"/>
      <c r="O549" s="348"/>
      <c r="P549" s="349"/>
      <c r="Q549" s="72"/>
      <c r="R549" s="73"/>
      <c r="S549" s="74"/>
      <c r="T549" s="50"/>
      <c r="U549" s="111"/>
      <c r="V549" s="50"/>
      <c r="X549" s="338"/>
      <c r="Y549" s="338"/>
      <c r="Z549" s="338"/>
    </row>
    <row r="550" spans="1:26" ht="34.5" hidden="1" customHeight="1" x14ac:dyDescent="0.25">
      <c r="A550" s="832" t="s">
        <v>380</v>
      </c>
      <c r="B550" s="833" t="s">
        <v>381</v>
      </c>
      <c r="C550" s="260" t="s">
        <v>394</v>
      </c>
      <c r="D550" s="276">
        <f>C495</f>
        <v>2922540345</v>
      </c>
      <c r="E550" s="276">
        <f>M495</f>
        <v>0</v>
      </c>
      <c r="F550" s="279">
        <f t="shared" si="71"/>
        <v>2922540345</v>
      </c>
      <c r="G550" s="939">
        <f>C316+C495</f>
        <v>3182393621</v>
      </c>
      <c r="H550" s="805">
        <f>M316+M495</f>
        <v>0</v>
      </c>
      <c r="I550" s="805">
        <f>G550-H550</f>
        <v>3182393621</v>
      </c>
      <c r="J550" s="807">
        <f>H550/G550</f>
        <v>0</v>
      </c>
      <c r="L550" s="801">
        <v>47000000</v>
      </c>
      <c r="M550" s="801">
        <f>I550-L550</f>
        <v>3135393621</v>
      </c>
      <c r="N550" s="348"/>
      <c r="O550" s="348"/>
      <c r="P550" s="349"/>
      <c r="Q550" s="72"/>
      <c r="R550" s="73"/>
      <c r="S550" s="74"/>
      <c r="T550" s="50"/>
      <c r="U550" s="111"/>
      <c r="V550" s="50"/>
      <c r="X550" s="338"/>
      <c r="Y550" s="338"/>
      <c r="Z550" s="338"/>
    </row>
    <row r="551" spans="1:26" ht="34.5" hidden="1" customHeight="1" x14ac:dyDescent="0.25">
      <c r="A551" s="832"/>
      <c r="B551" s="833"/>
      <c r="C551" s="260" t="s">
        <v>395</v>
      </c>
      <c r="D551" s="276">
        <f>C316</f>
        <v>259853276</v>
      </c>
      <c r="E551" s="276">
        <f>M316</f>
        <v>0</v>
      </c>
      <c r="F551" s="279">
        <f t="shared" si="71"/>
        <v>259853276</v>
      </c>
      <c r="G551" s="941"/>
      <c r="H551" s="806"/>
      <c r="I551" s="806"/>
      <c r="J551" s="808"/>
      <c r="L551" s="802"/>
      <c r="M551" s="802"/>
      <c r="N551" s="348"/>
      <c r="O551" s="348"/>
      <c r="P551" s="349"/>
      <c r="Q551" s="72"/>
      <c r="R551" s="73"/>
      <c r="S551" s="74"/>
      <c r="T551" s="50"/>
      <c r="U551" s="111"/>
      <c r="V551" s="50"/>
      <c r="X551" s="338"/>
      <c r="Y551" s="338"/>
      <c r="Z551" s="338"/>
    </row>
    <row r="552" spans="1:26" ht="33.75" hidden="1" customHeight="1" x14ac:dyDescent="0.25">
      <c r="A552" s="830" t="s">
        <v>382</v>
      </c>
      <c r="B552" s="831" t="s">
        <v>383</v>
      </c>
      <c r="C552" s="262" t="s">
        <v>396</v>
      </c>
      <c r="D552" s="277">
        <f>C332</f>
        <v>279544392</v>
      </c>
      <c r="E552" s="277">
        <f>M332</f>
        <v>0</v>
      </c>
      <c r="F552" s="274">
        <f t="shared" si="71"/>
        <v>279544392</v>
      </c>
      <c r="G552" s="936">
        <f>C386+C332</f>
        <v>1714659469</v>
      </c>
      <c r="H552" s="923">
        <f>M386+M332</f>
        <v>0</v>
      </c>
      <c r="I552" s="923">
        <f>G552-H552</f>
        <v>1714659469</v>
      </c>
      <c r="J552" s="803">
        <f>H552/G552</f>
        <v>0</v>
      </c>
      <c r="L552" s="801">
        <v>20000000</v>
      </c>
      <c r="M552" s="801">
        <f>I552-L552</f>
        <v>1694659469</v>
      </c>
      <c r="N552" s="348"/>
      <c r="O552" s="348"/>
      <c r="P552" s="349"/>
      <c r="Q552" s="72"/>
      <c r="R552" s="73"/>
      <c r="S552" s="74"/>
      <c r="T552" s="50"/>
      <c r="U552" s="111"/>
      <c r="V552" s="50"/>
      <c r="X552" s="338"/>
      <c r="Y552" s="338"/>
      <c r="Z552" s="338"/>
    </row>
    <row r="553" spans="1:26" ht="33.75" hidden="1" customHeight="1" x14ac:dyDescent="0.25">
      <c r="A553" s="830"/>
      <c r="B553" s="831"/>
      <c r="C553" s="262" t="s">
        <v>134</v>
      </c>
      <c r="D553" s="277">
        <f>C386</f>
        <v>1435115077</v>
      </c>
      <c r="E553" s="277">
        <f>M386</f>
        <v>0</v>
      </c>
      <c r="F553" s="274">
        <f t="shared" si="71"/>
        <v>1435115077</v>
      </c>
      <c r="G553" s="937"/>
      <c r="H553" s="924"/>
      <c r="I553" s="924"/>
      <c r="J553" s="804"/>
      <c r="L553" s="802"/>
      <c r="M553" s="802"/>
      <c r="N553" s="348"/>
      <c r="O553" s="348"/>
      <c r="P553" s="349"/>
      <c r="Q553" s="72"/>
      <c r="R553" s="73"/>
      <c r="S553" s="74"/>
      <c r="T553" s="50"/>
      <c r="U553" s="111"/>
      <c r="V553" s="50"/>
      <c r="X553" s="338"/>
      <c r="Y553" s="338"/>
      <c r="Z553" s="338"/>
    </row>
    <row r="554" spans="1:26" ht="63" hidden="1" customHeight="1" x14ac:dyDescent="0.25">
      <c r="A554" s="264" t="s">
        <v>384</v>
      </c>
      <c r="B554" s="265" t="s">
        <v>385</v>
      </c>
      <c r="C554" s="260" t="s">
        <v>397</v>
      </c>
      <c r="D554" s="276">
        <f>C306</f>
        <v>82185833</v>
      </c>
      <c r="E554" s="276">
        <f>M306</f>
        <v>0</v>
      </c>
      <c r="F554" s="279">
        <f t="shared" si="71"/>
        <v>82185833</v>
      </c>
      <c r="G554" s="281">
        <f>C306</f>
        <v>82185833</v>
      </c>
      <c r="H554" s="266">
        <f>M306</f>
        <v>0</v>
      </c>
      <c r="I554" s="273">
        <f>G554-H554</f>
        <v>82185833</v>
      </c>
      <c r="J554" s="270">
        <f>H554/G554</f>
        <v>0</v>
      </c>
      <c r="L554" s="177">
        <v>5000000</v>
      </c>
      <c r="M554" s="177">
        <f>I554-L554</f>
        <v>77185833</v>
      </c>
      <c r="N554" s="348"/>
      <c r="O554" s="348"/>
      <c r="P554" s="349"/>
      <c r="Q554" s="72"/>
      <c r="R554" s="73"/>
      <c r="S554" s="74"/>
      <c r="T554" s="50"/>
      <c r="U554" s="111"/>
      <c r="V554" s="50"/>
      <c r="X554" s="338"/>
      <c r="Y554" s="338"/>
      <c r="Z554" s="338"/>
    </row>
    <row r="555" spans="1:26" ht="16.5" hidden="1" thickBot="1" x14ac:dyDescent="0.3">
      <c r="A555" s="828" t="s">
        <v>183</v>
      </c>
      <c r="B555" s="829"/>
      <c r="C555" s="267"/>
      <c r="D555" s="267" t="e">
        <f>SUM(D536:D554)</f>
        <v>#REF!</v>
      </c>
      <c r="E555" s="282">
        <f>SUM(E536:E554)</f>
        <v>0</v>
      </c>
      <c r="F555" s="283" t="e">
        <f t="shared" si="71"/>
        <v>#REF!</v>
      </c>
      <c r="G555" s="267" t="e">
        <f>G536+G541+G545+G547+G549+G550+G552+G554</f>
        <v>#REF!</v>
      </c>
      <c r="H555" s="284">
        <f>H536+H537+H538+H539+H540+H541+H542+H543+H544+H545+H546+H547+H548+H550+H551+H552+H553+H554</f>
        <v>0</v>
      </c>
      <c r="I555" s="285" t="e">
        <f>G555-H555</f>
        <v>#REF!</v>
      </c>
      <c r="J555" s="315" t="e">
        <f>H555/G555</f>
        <v>#REF!</v>
      </c>
      <c r="L555" s="177">
        <f>SUM(L535:L554)</f>
        <v>733049204</v>
      </c>
      <c r="M555" s="177" t="e">
        <f>SUM(M535:M554)</f>
        <v>#REF!</v>
      </c>
      <c r="N555" s="348"/>
      <c r="O555" s="348"/>
      <c r="P555" s="349"/>
      <c r="Q555" s="72"/>
      <c r="R555" s="73"/>
      <c r="S555" s="74"/>
      <c r="T555" s="50"/>
      <c r="U555" s="111"/>
      <c r="V555" s="50"/>
      <c r="X555" s="338"/>
      <c r="Y555" s="338"/>
      <c r="Z555" s="338"/>
    </row>
    <row r="556" spans="1:26" hidden="1" x14ac:dyDescent="0.25"/>
    <row r="557" spans="1:26" hidden="1" x14ac:dyDescent="0.25">
      <c r="L557" s="348" t="e">
        <f>M555+L555</f>
        <v>#REF!</v>
      </c>
      <c r="M557" s="349" t="e">
        <f>L560+M536+M541+M545+M547+M549+M552+M554</f>
        <v>#REF!</v>
      </c>
    </row>
    <row r="558" spans="1:26" hidden="1" x14ac:dyDescent="0.25">
      <c r="E558" s="348" t="e">
        <f>F555+E555</f>
        <v>#REF!</v>
      </c>
    </row>
    <row r="559" spans="1:26" hidden="1" x14ac:dyDescent="0.25"/>
    <row r="560" spans="1:26" hidden="1" x14ac:dyDescent="0.25">
      <c r="L560" s="348">
        <f>M550+L555</f>
        <v>3868442825</v>
      </c>
      <c r="M560" s="349" t="s">
        <v>409</v>
      </c>
    </row>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sheetData>
  <protectedRanges>
    <protectedRange password="C7A1" sqref="A66" name="Rango1_10_2_1_1_1_1_1_1"/>
  </protectedRanges>
  <mergeCells count="586">
    <mergeCell ref="D284:L284"/>
    <mergeCell ref="M284:M285"/>
    <mergeCell ref="N284:N285"/>
    <mergeCell ref="O284:O285"/>
    <mergeCell ref="P284:P285"/>
    <mergeCell ref="Q284:Q285"/>
    <mergeCell ref="C258:C259"/>
    <mergeCell ref="D258:L258"/>
    <mergeCell ref="M258:M259"/>
    <mergeCell ref="N258:N259"/>
    <mergeCell ref="O258:O259"/>
    <mergeCell ref="P258:P259"/>
    <mergeCell ref="Q258:Q259"/>
    <mergeCell ref="B135:R135"/>
    <mergeCell ref="B136:R136"/>
    <mergeCell ref="A137:A138"/>
    <mergeCell ref="B137:B138"/>
    <mergeCell ref="C137:C138"/>
    <mergeCell ref="D137:L137"/>
    <mergeCell ref="M137:M138"/>
    <mergeCell ref="N137:N138"/>
    <mergeCell ref="O137:O138"/>
    <mergeCell ref="P137:P138"/>
    <mergeCell ref="Q137:Q138"/>
    <mergeCell ref="R137:R138"/>
    <mergeCell ref="B36:R36"/>
    <mergeCell ref="B35:R35"/>
    <mergeCell ref="B34:R34"/>
    <mergeCell ref="B33:R33"/>
    <mergeCell ref="B132:R132"/>
    <mergeCell ref="B133:R133"/>
    <mergeCell ref="B134:R134"/>
    <mergeCell ref="R38:R39"/>
    <mergeCell ref="Q38:Q39"/>
    <mergeCell ref="P38:P39"/>
    <mergeCell ref="O38:O39"/>
    <mergeCell ref="N38:N39"/>
    <mergeCell ref="M38:M39"/>
    <mergeCell ref="D38:L38"/>
    <mergeCell ref="C38:C39"/>
    <mergeCell ref="B38:B39"/>
    <mergeCell ref="M125:M126"/>
    <mergeCell ref="N125:N126"/>
    <mergeCell ref="O125:O126"/>
    <mergeCell ref="P125:P126"/>
    <mergeCell ref="Q125:Q126"/>
    <mergeCell ref="B100:R100"/>
    <mergeCell ref="B101:R101"/>
    <mergeCell ref="B102:R102"/>
    <mergeCell ref="I552:I553"/>
    <mergeCell ref="D543:D544"/>
    <mergeCell ref="E543:E544"/>
    <mergeCell ref="A534:J534"/>
    <mergeCell ref="F543:F544"/>
    <mergeCell ref="I536:I540"/>
    <mergeCell ref="I541:I544"/>
    <mergeCell ref="I545:I546"/>
    <mergeCell ref="I547:I548"/>
    <mergeCell ref="I550:I551"/>
    <mergeCell ref="A535:B535"/>
    <mergeCell ref="G552:G553"/>
    <mergeCell ref="H552:H553"/>
    <mergeCell ref="J552:J553"/>
    <mergeCell ref="G536:G540"/>
    <mergeCell ref="G541:G544"/>
    <mergeCell ref="G545:G546"/>
    <mergeCell ref="G547:G548"/>
    <mergeCell ref="G550:G551"/>
    <mergeCell ref="H536:H540"/>
    <mergeCell ref="J536:J540"/>
    <mergeCell ref="H541:H544"/>
    <mergeCell ref="J541:J544"/>
    <mergeCell ref="H545:H546"/>
    <mergeCell ref="A104:A105"/>
    <mergeCell ref="B104:B105"/>
    <mergeCell ref="C104:C105"/>
    <mergeCell ref="D104:L104"/>
    <mergeCell ref="M104:M105"/>
    <mergeCell ref="N104:N105"/>
    <mergeCell ref="O104:O105"/>
    <mergeCell ref="P104:P105"/>
    <mergeCell ref="Q104:Q105"/>
    <mergeCell ref="A63:A64"/>
    <mergeCell ref="B63:B64"/>
    <mergeCell ref="C63:C64"/>
    <mergeCell ref="D63:L63"/>
    <mergeCell ref="M63:M64"/>
    <mergeCell ref="N63:N64"/>
    <mergeCell ref="O63:O64"/>
    <mergeCell ref="P63:P64"/>
    <mergeCell ref="Q63:Q64"/>
    <mergeCell ref="A506:B506"/>
    <mergeCell ref="A479:R479"/>
    <mergeCell ref="A481:R481"/>
    <mergeCell ref="A494:B494"/>
    <mergeCell ref="A495:B495"/>
    <mergeCell ref="A498:B498"/>
    <mergeCell ref="A500:O500"/>
    <mergeCell ref="A79:A80"/>
    <mergeCell ref="B79:B80"/>
    <mergeCell ref="C79:C80"/>
    <mergeCell ref="D79:L79"/>
    <mergeCell ref="M79:M80"/>
    <mergeCell ref="N79:N80"/>
    <mergeCell ref="O79:O80"/>
    <mergeCell ref="P79:P80"/>
    <mergeCell ref="Q79:Q80"/>
    <mergeCell ref="A96:A97"/>
    <mergeCell ref="B96:B97"/>
    <mergeCell ref="C96:C97"/>
    <mergeCell ref="D96:L96"/>
    <mergeCell ref="M96:M97"/>
    <mergeCell ref="N96:N97"/>
    <mergeCell ref="O96:O97"/>
    <mergeCell ref="P96:P97"/>
    <mergeCell ref="B463:R463"/>
    <mergeCell ref="A467:B467"/>
    <mergeCell ref="A523:B523"/>
    <mergeCell ref="A513:B513"/>
    <mergeCell ref="A514:B514"/>
    <mergeCell ref="A515:B515"/>
    <mergeCell ref="A516:B516"/>
    <mergeCell ref="A517:B517"/>
    <mergeCell ref="A518:B518"/>
    <mergeCell ref="A507:B507"/>
    <mergeCell ref="A508:B508"/>
    <mergeCell ref="A509:B509"/>
    <mergeCell ref="A510:B510"/>
    <mergeCell ref="A511:B511"/>
    <mergeCell ref="A512:B512"/>
    <mergeCell ref="A519:B519"/>
    <mergeCell ref="A520:B520"/>
    <mergeCell ref="A521:B521"/>
    <mergeCell ref="A522:B522"/>
    <mergeCell ref="A501:B501"/>
    <mergeCell ref="A502:B502"/>
    <mergeCell ref="A503:B503"/>
    <mergeCell ref="A504:B504"/>
    <mergeCell ref="A505:B505"/>
    <mergeCell ref="A476:R476"/>
    <mergeCell ref="B468:R468"/>
    <mergeCell ref="A473:A474"/>
    <mergeCell ref="B473:B474"/>
    <mergeCell ref="C473:C474"/>
    <mergeCell ref="D473:L473"/>
    <mergeCell ref="M473:M474"/>
    <mergeCell ref="N473:N474"/>
    <mergeCell ref="O473:O474"/>
    <mergeCell ref="P473:P474"/>
    <mergeCell ref="Q473:Q474"/>
    <mergeCell ref="R473:R474"/>
    <mergeCell ref="B469:R469"/>
    <mergeCell ref="B470:R470"/>
    <mergeCell ref="B471:R471"/>
    <mergeCell ref="B424:R424"/>
    <mergeCell ref="B408:R408"/>
    <mergeCell ref="B409:R409"/>
    <mergeCell ref="B410:R410"/>
    <mergeCell ref="B411:R411"/>
    <mergeCell ref="B412:R412"/>
    <mergeCell ref="A419:B419"/>
    <mergeCell ref="A413:A414"/>
    <mergeCell ref="B413:B414"/>
    <mergeCell ref="C413:C414"/>
    <mergeCell ref="D413:L413"/>
    <mergeCell ref="M413:M414"/>
    <mergeCell ref="N413:N414"/>
    <mergeCell ref="O413:O414"/>
    <mergeCell ref="P413:P414"/>
    <mergeCell ref="Q413:Q414"/>
    <mergeCell ref="R413:R414"/>
    <mergeCell ref="B400:R400"/>
    <mergeCell ref="B401:R401"/>
    <mergeCell ref="B402:R402"/>
    <mergeCell ref="A406:B406"/>
    <mergeCell ref="B391:R391"/>
    <mergeCell ref="B392:R392"/>
    <mergeCell ref="A396:B396"/>
    <mergeCell ref="A397:R397"/>
    <mergeCell ref="B398:R398"/>
    <mergeCell ref="B399:R399"/>
    <mergeCell ref="A393:A394"/>
    <mergeCell ref="B393:B394"/>
    <mergeCell ref="C393:C394"/>
    <mergeCell ref="D393:L393"/>
    <mergeCell ref="M393:M394"/>
    <mergeCell ref="N393:N394"/>
    <mergeCell ref="O393:O394"/>
    <mergeCell ref="P393:P394"/>
    <mergeCell ref="Q393:Q394"/>
    <mergeCell ref="R393:R394"/>
    <mergeCell ref="A403:A404"/>
    <mergeCell ref="B403:B404"/>
    <mergeCell ref="B390:R390"/>
    <mergeCell ref="B336:R336"/>
    <mergeCell ref="B337:R337"/>
    <mergeCell ref="B338:R338"/>
    <mergeCell ref="A341:R341"/>
    <mergeCell ref="A357:R357"/>
    <mergeCell ref="A377:R377"/>
    <mergeCell ref="A339:A340"/>
    <mergeCell ref="B339:B340"/>
    <mergeCell ref="C339:C340"/>
    <mergeCell ref="D339:L339"/>
    <mergeCell ref="M339:M340"/>
    <mergeCell ref="N339:N340"/>
    <mergeCell ref="O339:O340"/>
    <mergeCell ref="P339:P340"/>
    <mergeCell ref="Q339:Q340"/>
    <mergeCell ref="R339:R340"/>
    <mergeCell ref="A332:B332"/>
    <mergeCell ref="A333:R333"/>
    <mergeCell ref="B334:R334"/>
    <mergeCell ref="B335:R335"/>
    <mergeCell ref="A379:R379"/>
    <mergeCell ref="A386:B386"/>
    <mergeCell ref="A387:R387"/>
    <mergeCell ref="B388:R388"/>
    <mergeCell ref="B389:R389"/>
    <mergeCell ref="B321:R321"/>
    <mergeCell ref="B322:R322"/>
    <mergeCell ref="A323:A324"/>
    <mergeCell ref="B323:B324"/>
    <mergeCell ref="C323:C324"/>
    <mergeCell ref="D323:L323"/>
    <mergeCell ref="M323:M324"/>
    <mergeCell ref="N323:N324"/>
    <mergeCell ref="O323:O324"/>
    <mergeCell ref="P323:P324"/>
    <mergeCell ref="Q323:Q324"/>
    <mergeCell ref="R323:R324"/>
    <mergeCell ref="B318:R318"/>
    <mergeCell ref="B319:R319"/>
    <mergeCell ref="B320:R320"/>
    <mergeCell ref="A316:B316"/>
    <mergeCell ref="A317:R317"/>
    <mergeCell ref="A306:B306"/>
    <mergeCell ref="A307:R307"/>
    <mergeCell ref="B308:R308"/>
    <mergeCell ref="B309:R309"/>
    <mergeCell ref="B310:R310"/>
    <mergeCell ref="B311:R311"/>
    <mergeCell ref="B297:R297"/>
    <mergeCell ref="B298:R298"/>
    <mergeCell ref="B299:R299"/>
    <mergeCell ref="A294:R294"/>
    <mergeCell ref="B264:R264"/>
    <mergeCell ref="B265:R265"/>
    <mergeCell ref="B266:R266"/>
    <mergeCell ref="B267:R267"/>
    <mergeCell ref="A278:B278"/>
    <mergeCell ref="A293:B293"/>
    <mergeCell ref="A268:A269"/>
    <mergeCell ref="B268:B269"/>
    <mergeCell ref="C268:C269"/>
    <mergeCell ref="D268:L268"/>
    <mergeCell ref="M268:M269"/>
    <mergeCell ref="N268:N269"/>
    <mergeCell ref="O268:O269"/>
    <mergeCell ref="P268:P269"/>
    <mergeCell ref="Q268:Q269"/>
    <mergeCell ref="R268:R269"/>
    <mergeCell ref="A292:B292"/>
    <mergeCell ref="B279:R279"/>
    <mergeCell ref="B280:R280"/>
    <mergeCell ref="B281:R281"/>
    <mergeCell ref="B295:R295"/>
    <mergeCell ref="B296:R296"/>
    <mergeCell ref="B282:R282"/>
    <mergeCell ref="B283:R283"/>
    <mergeCell ref="R284:R285"/>
    <mergeCell ref="R258:R259"/>
    <mergeCell ref="B244:R244"/>
    <mergeCell ref="B245:R245"/>
    <mergeCell ref="B246:R246"/>
    <mergeCell ref="A252:B252"/>
    <mergeCell ref="R247:R248"/>
    <mergeCell ref="A258:A259"/>
    <mergeCell ref="B258:B259"/>
    <mergeCell ref="B255:R255"/>
    <mergeCell ref="B256:R256"/>
    <mergeCell ref="B257:R257"/>
    <mergeCell ref="A261:B261"/>
    <mergeCell ref="B262:R262"/>
    <mergeCell ref="B263:R263"/>
    <mergeCell ref="B253:R253"/>
    <mergeCell ref="B254:R254"/>
    <mergeCell ref="A284:A285"/>
    <mergeCell ref="B284:B285"/>
    <mergeCell ref="C284:C285"/>
    <mergeCell ref="B225:R225"/>
    <mergeCell ref="B226:R226"/>
    <mergeCell ref="B227:R227"/>
    <mergeCell ref="A241:B241"/>
    <mergeCell ref="B242:R242"/>
    <mergeCell ref="B243:R243"/>
    <mergeCell ref="A228:A229"/>
    <mergeCell ref="B228:B229"/>
    <mergeCell ref="C228:C229"/>
    <mergeCell ref="D228:L228"/>
    <mergeCell ref="M228:M229"/>
    <mergeCell ref="N228:N229"/>
    <mergeCell ref="O228:O229"/>
    <mergeCell ref="P228:P229"/>
    <mergeCell ref="Q228:Q229"/>
    <mergeCell ref="R228:R229"/>
    <mergeCell ref="B223:R223"/>
    <mergeCell ref="B224:R224"/>
    <mergeCell ref="B174:R174"/>
    <mergeCell ref="B175:R175"/>
    <mergeCell ref="B176:R176"/>
    <mergeCell ref="B177:R177"/>
    <mergeCell ref="A180:R180"/>
    <mergeCell ref="A186:R186"/>
    <mergeCell ref="A178:A179"/>
    <mergeCell ref="B178:B179"/>
    <mergeCell ref="C178:C179"/>
    <mergeCell ref="D178:L178"/>
    <mergeCell ref="M178:M179"/>
    <mergeCell ref="N178:N179"/>
    <mergeCell ref="O178:O179"/>
    <mergeCell ref="P178:P179"/>
    <mergeCell ref="Q178:Q179"/>
    <mergeCell ref="R178:R179"/>
    <mergeCell ref="A192:Q192"/>
    <mergeCell ref="C197:C204"/>
    <mergeCell ref="N197:N204"/>
    <mergeCell ref="C206:C220"/>
    <mergeCell ref="B154:R154"/>
    <mergeCell ref="B155:R155"/>
    <mergeCell ref="B156:R156"/>
    <mergeCell ref="B144:R144"/>
    <mergeCell ref="B145:R145"/>
    <mergeCell ref="B146:R146"/>
    <mergeCell ref="A152:A153"/>
    <mergeCell ref="B123:R123"/>
    <mergeCell ref="B124:R124"/>
    <mergeCell ref="A140:B140"/>
    <mergeCell ref="A141:R141"/>
    <mergeCell ref="B142:R142"/>
    <mergeCell ref="B143:R143"/>
    <mergeCell ref="A147:A148"/>
    <mergeCell ref="B147:B148"/>
    <mergeCell ref="C147:C148"/>
    <mergeCell ref="D147:L147"/>
    <mergeCell ref="M147:M148"/>
    <mergeCell ref="N147:N148"/>
    <mergeCell ref="O147:O148"/>
    <mergeCell ref="P147:P148"/>
    <mergeCell ref="Q147:Q148"/>
    <mergeCell ref="R147:R148"/>
    <mergeCell ref="R125:R126"/>
    <mergeCell ref="A125:A126"/>
    <mergeCell ref="B125:B126"/>
    <mergeCell ref="C125:C126"/>
    <mergeCell ref="D125:L125"/>
    <mergeCell ref="B111:R111"/>
    <mergeCell ref="B112:R112"/>
    <mergeCell ref="B113:R113"/>
    <mergeCell ref="B120:R120"/>
    <mergeCell ref="B121:R121"/>
    <mergeCell ref="B122:R122"/>
    <mergeCell ref="B114:B115"/>
    <mergeCell ref="C114:C115"/>
    <mergeCell ref="D114:L114"/>
    <mergeCell ref="M114:M115"/>
    <mergeCell ref="N114:N115"/>
    <mergeCell ref="O114:O115"/>
    <mergeCell ref="P114:P115"/>
    <mergeCell ref="Q114:Q115"/>
    <mergeCell ref="A114:A115"/>
    <mergeCell ref="B103:R103"/>
    <mergeCell ref="B109:R109"/>
    <mergeCell ref="B110:R110"/>
    <mergeCell ref="R104:R105"/>
    <mergeCell ref="R114:R115"/>
    <mergeCell ref="B91:R91"/>
    <mergeCell ref="B92:R92"/>
    <mergeCell ref="B93:R93"/>
    <mergeCell ref="B94:R94"/>
    <mergeCell ref="B95:R95"/>
    <mergeCell ref="B99:R99"/>
    <mergeCell ref="Q96:Q97"/>
    <mergeCell ref="B62:R62"/>
    <mergeCell ref="B74:R74"/>
    <mergeCell ref="B75:R75"/>
    <mergeCell ref="B76:R76"/>
    <mergeCell ref="B77:R77"/>
    <mergeCell ref="B78:R78"/>
    <mergeCell ref="R79:R80"/>
    <mergeCell ref="R63:R64"/>
    <mergeCell ref="R96:R97"/>
    <mergeCell ref="A56:B56"/>
    <mergeCell ref="A57:R57"/>
    <mergeCell ref="B58:R58"/>
    <mergeCell ref="B59:R59"/>
    <mergeCell ref="B60:R60"/>
    <mergeCell ref="B61:R61"/>
    <mergeCell ref="B44:R44"/>
    <mergeCell ref="B45:R45"/>
    <mergeCell ref="B46:R46"/>
    <mergeCell ref="D47:L47"/>
    <mergeCell ref="M47:M48"/>
    <mergeCell ref="N47:N48"/>
    <mergeCell ref="O47:O48"/>
    <mergeCell ref="P47:P48"/>
    <mergeCell ref="Q47:Q48"/>
    <mergeCell ref="R47:R48"/>
    <mergeCell ref="A47:A48"/>
    <mergeCell ref="B42:R42"/>
    <mergeCell ref="B43:R43"/>
    <mergeCell ref="B47:B48"/>
    <mergeCell ref="C47:C48"/>
    <mergeCell ref="A31:B31"/>
    <mergeCell ref="A32:R32"/>
    <mergeCell ref="B15:R15"/>
    <mergeCell ref="B16:R16"/>
    <mergeCell ref="B17:R17"/>
    <mergeCell ref="A20:A21"/>
    <mergeCell ref="B22:R22"/>
    <mergeCell ref="B23:R23"/>
    <mergeCell ref="A27:A28"/>
    <mergeCell ref="B27:B28"/>
    <mergeCell ref="C27:C28"/>
    <mergeCell ref="D27:L27"/>
    <mergeCell ref="M27:M28"/>
    <mergeCell ref="N27:N28"/>
    <mergeCell ref="O27:O28"/>
    <mergeCell ref="P27:P28"/>
    <mergeCell ref="Q27:Q28"/>
    <mergeCell ref="R27:R28"/>
    <mergeCell ref="A38:A39"/>
    <mergeCell ref="B37:R37"/>
    <mergeCell ref="A1:R1"/>
    <mergeCell ref="A2:R2"/>
    <mergeCell ref="A11:B11"/>
    <mergeCell ref="B13:R13"/>
    <mergeCell ref="B14:R14"/>
    <mergeCell ref="B24:R24"/>
    <mergeCell ref="B25:R25"/>
    <mergeCell ref="B26:R26"/>
    <mergeCell ref="A8:A9"/>
    <mergeCell ref="B8:B9"/>
    <mergeCell ref="C8:C9"/>
    <mergeCell ref="Q8:Q9"/>
    <mergeCell ref="R8:R9"/>
    <mergeCell ref="M8:M9"/>
    <mergeCell ref="N8:N9"/>
    <mergeCell ref="O8:O9"/>
    <mergeCell ref="P8:P9"/>
    <mergeCell ref="D8:L8"/>
    <mergeCell ref="B5:R5"/>
    <mergeCell ref="A12:R12"/>
    <mergeCell ref="Q300:Q301"/>
    <mergeCell ref="B312:R312"/>
    <mergeCell ref="B157:R157"/>
    <mergeCell ref="B158:R158"/>
    <mergeCell ref="A171:B171"/>
    <mergeCell ref="A159:A160"/>
    <mergeCell ref="B159:B160"/>
    <mergeCell ref="A247:A248"/>
    <mergeCell ref="B247:B248"/>
    <mergeCell ref="C247:C248"/>
    <mergeCell ref="D247:L247"/>
    <mergeCell ref="M247:M248"/>
    <mergeCell ref="N247:N248"/>
    <mergeCell ref="O247:O248"/>
    <mergeCell ref="P247:P248"/>
    <mergeCell ref="Q247:Q248"/>
    <mergeCell ref="C159:C160"/>
    <mergeCell ref="D159:L159"/>
    <mergeCell ref="M159:M160"/>
    <mergeCell ref="N159:N160"/>
    <mergeCell ref="O159:O160"/>
    <mergeCell ref="A196:Q196"/>
    <mergeCell ref="A205:Q205"/>
    <mergeCell ref="A222:B222"/>
    <mergeCell ref="P159:P160"/>
    <mergeCell ref="Q159:Q160"/>
    <mergeCell ref="R300:R301"/>
    <mergeCell ref="A313:A314"/>
    <mergeCell ref="B313:B314"/>
    <mergeCell ref="C313:C314"/>
    <mergeCell ref="D313:L313"/>
    <mergeCell ref="M313:M314"/>
    <mergeCell ref="N313:N314"/>
    <mergeCell ref="O313:O314"/>
    <mergeCell ref="P313:P314"/>
    <mergeCell ref="Q313:Q314"/>
    <mergeCell ref="R313:R314"/>
    <mergeCell ref="A300:A301"/>
    <mergeCell ref="B300:B301"/>
    <mergeCell ref="C300:C301"/>
    <mergeCell ref="D300:L300"/>
    <mergeCell ref="M300:M301"/>
    <mergeCell ref="N300:N301"/>
    <mergeCell ref="O300:O301"/>
    <mergeCell ref="P300:P301"/>
    <mergeCell ref="A172:R172"/>
    <mergeCell ref="R159:R160"/>
    <mergeCell ref="B173:R173"/>
    <mergeCell ref="P425:P426"/>
    <mergeCell ref="Q425:Q426"/>
    <mergeCell ref="A446:B446"/>
    <mergeCell ref="A425:A426"/>
    <mergeCell ref="B425:B426"/>
    <mergeCell ref="R425:R426"/>
    <mergeCell ref="C403:C404"/>
    <mergeCell ref="D403:L403"/>
    <mergeCell ref="M403:M404"/>
    <mergeCell ref="N403:N404"/>
    <mergeCell ref="O403:O404"/>
    <mergeCell ref="P403:P404"/>
    <mergeCell ref="Q403:Q404"/>
    <mergeCell ref="R403:R404"/>
    <mergeCell ref="C425:C426"/>
    <mergeCell ref="D425:L425"/>
    <mergeCell ref="M425:M426"/>
    <mergeCell ref="N425:N426"/>
    <mergeCell ref="O425:O426"/>
    <mergeCell ref="A407:R407"/>
    <mergeCell ref="B420:R420"/>
    <mergeCell ref="B421:R421"/>
    <mergeCell ref="B422:R422"/>
    <mergeCell ref="B423:R423"/>
    <mergeCell ref="A555:B555"/>
    <mergeCell ref="A536:A540"/>
    <mergeCell ref="B536:B540"/>
    <mergeCell ref="A541:A544"/>
    <mergeCell ref="B541:B544"/>
    <mergeCell ref="A545:A546"/>
    <mergeCell ref="B545:B546"/>
    <mergeCell ref="A547:A548"/>
    <mergeCell ref="B547:B548"/>
    <mergeCell ref="A550:A551"/>
    <mergeCell ref="B550:B551"/>
    <mergeCell ref="A552:A553"/>
    <mergeCell ref="B552:B553"/>
    <mergeCell ref="B450:R450"/>
    <mergeCell ref="A458:B458"/>
    <mergeCell ref="B447:R447"/>
    <mergeCell ref="B448:R448"/>
    <mergeCell ref="B449:R449"/>
    <mergeCell ref="A452:A453"/>
    <mergeCell ref="H550:H551"/>
    <mergeCell ref="J550:J551"/>
    <mergeCell ref="L536:L540"/>
    <mergeCell ref="M536:M540"/>
    <mergeCell ref="L541:L544"/>
    <mergeCell ref="M541:M544"/>
    <mergeCell ref="L545:L546"/>
    <mergeCell ref="M545:M546"/>
    <mergeCell ref="L547:L548"/>
    <mergeCell ref="M547:M548"/>
    <mergeCell ref="L550:L551"/>
    <mergeCell ref="M550:M551"/>
    <mergeCell ref="B459:R459"/>
    <mergeCell ref="A464:A465"/>
    <mergeCell ref="B464:B465"/>
    <mergeCell ref="C464:C465"/>
    <mergeCell ref="D464:L464"/>
    <mergeCell ref="M464:M465"/>
    <mergeCell ref="O452:O453"/>
    <mergeCell ref="P452:P453"/>
    <mergeCell ref="Q452:Q453"/>
    <mergeCell ref="R452:R453"/>
    <mergeCell ref="B461:R461"/>
    <mergeCell ref="B462:R462"/>
    <mergeCell ref="L552:L553"/>
    <mergeCell ref="M552:M553"/>
    <mergeCell ref="J545:J546"/>
    <mergeCell ref="H547:H548"/>
    <mergeCell ref="J547:J548"/>
    <mergeCell ref="B460:R460"/>
    <mergeCell ref="N464:N465"/>
    <mergeCell ref="O464:O465"/>
    <mergeCell ref="P464:P465"/>
    <mergeCell ref="Q464:Q465"/>
    <mergeCell ref="R464:R465"/>
    <mergeCell ref="B452:B453"/>
    <mergeCell ref="C452:C453"/>
    <mergeCell ref="D452:L452"/>
    <mergeCell ref="M452:M453"/>
    <mergeCell ref="N452:N453"/>
    <mergeCell ref="B472:R472"/>
    <mergeCell ref="A475:R475"/>
  </mergeCells>
  <pageMargins left="0.19685039370078741" right="0.19685039370078741" top="0.74803149606299213" bottom="0.74803149606299213" header="0.31496062992125984" footer="0.31496062992125984"/>
  <pageSetup paperSize="9" scale="7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6"/>
  <sheetViews>
    <sheetView topLeftCell="A295" zoomScale="90" zoomScaleNormal="90" workbookViewId="0">
      <selection activeCell="G334" sqref="G334"/>
    </sheetView>
  </sheetViews>
  <sheetFormatPr baseColWidth="10" defaultRowHeight="15" x14ac:dyDescent="0.25"/>
  <cols>
    <col min="1" max="1" width="40.42578125" style="1" customWidth="1"/>
    <col min="2" max="2" width="13.42578125" style="25" customWidth="1"/>
    <col min="3" max="3" width="19.5703125" style="220" customWidth="1"/>
    <col min="4" max="4" width="17.28515625" style="71" customWidth="1"/>
    <col min="5" max="5" width="18" style="92" bestFit="1" customWidth="1"/>
    <col min="6" max="6" width="15.28515625" style="93" customWidth="1"/>
    <col min="7" max="7" width="21.7109375" style="400" customWidth="1"/>
    <col min="8" max="8" width="20.28515625" style="1" customWidth="1"/>
    <col min="9" max="9" width="27.5703125" style="113" customWidth="1"/>
    <col min="10" max="10" width="18.5703125" style="1" customWidth="1"/>
    <col min="11" max="11" width="16.85546875" style="26" hidden="1" customWidth="1"/>
    <col min="12" max="14" width="17.5703125" style="26" hidden="1" customWidth="1"/>
    <col min="15" max="24" width="0" style="1" hidden="1" customWidth="1"/>
    <col min="25" max="16384" width="11.42578125" style="1"/>
  </cols>
  <sheetData>
    <row r="1" spans="1:31" ht="24.75" customHeight="1" x14ac:dyDescent="0.2">
      <c r="A1" s="710" t="s">
        <v>210</v>
      </c>
      <c r="B1" s="711"/>
      <c r="C1" s="711"/>
      <c r="D1" s="711"/>
      <c r="E1" s="711"/>
      <c r="F1" s="711"/>
      <c r="G1" s="711"/>
      <c r="H1" s="711"/>
      <c r="I1" s="712"/>
      <c r="K1" s="1"/>
      <c r="L1" s="1"/>
      <c r="M1" s="1"/>
      <c r="N1" s="1"/>
    </row>
    <row r="2" spans="1:31" ht="12.75" x14ac:dyDescent="0.2">
      <c r="A2" s="984" t="s">
        <v>9</v>
      </c>
      <c r="B2" s="985"/>
      <c r="C2" s="985"/>
      <c r="D2" s="985"/>
      <c r="E2" s="985"/>
      <c r="F2" s="985"/>
      <c r="G2" s="985"/>
      <c r="H2" s="985"/>
      <c r="I2" s="986"/>
      <c r="K2" s="1"/>
      <c r="L2" s="1"/>
      <c r="M2" s="1"/>
      <c r="N2" s="1"/>
    </row>
    <row r="3" spans="1:31" ht="12.75" hidden="1" x14ac:dyDescent="0.2">
      <c r="A3" s="2" t="s">
        <v>1</v>
      </c>
      <c r="B3" s="960" t="s">
        <v>2</v>
      </c>
      <c r="C3" s="961"/>
      <c r="D3" s="961"/>
      <c r="E3" s="961"/>
      <c r="F3" s="961"/>
      <c r="G3" s="961"/>
      <c r="H3" s="961"/>
      <c r="I3" s="962"/>
      <c r="K3" s="1"/>
      <c r="L3" s="1"/>
      <c r="M3" s="1"/>
      <c r="N3" s="1"/>
    </row>
    <row r="4" spans="1:31" ht="12.75" hidden="1" customHeight="1" x14ac:dyDescent="0.2">
      <c r="A4" s="365" t="s">
        <v>3</v>
      </c>
      <c r="B4" s="839" t="s">
        <v>4</v>
      </c>
      <c r="C4" s="840"/>
      <c r="D4" s="840"/>
      <c r="E4" s="840"/>
      <c r="F4" s="840"/>
      <c r="G4" s="840"/>
      <c r="H4" s="840"/>
      <c r="I4" s="987"/>
      <c r="K4" s="1"/>
      <c r="L4" s="1"/>
      <c r="M4" s="1"/>
      <c r="N4" s="1"/>
    </row>
    <row r="5" spans="1:31" s="235" customFormat="1" ht="12.75" hidden="1" customHeight="1" x14ac:dyDescent="0.2">
      <c r="A5" s="366" t="s">
        <v>5</v>
      </c>
      <c r="B5" s="988" t="s">
        <v>319</v>
      </c>
      <c r="C5" s="989"/>
      <c r="D5" s="989"/>
      <c r="E5" s="989"/>
      <c r="F5" s="989"/>
      <c r="G5" s="989"/>
      <c r="H5" s="989"/>
      <c r="I5" s="990"/>
      <c r="J5" s="236"/>
      <c r="K5" s="236"/>
      <c r="L5" s="236"/>
      <c r="M5" s="236"/>
      <c r="N5" s="236"/>
      <c r="O5" s="236"/>
      <c r="P5" s="236"/>
      <c r="Q5" s="236"/>
      <c r="R5" s="236"/>
      <c r="S5" s="236"/>
      <c r="T5" s="236"/>
      <c r="U5" s="236"/>
      <c r="V5" s="236"/>
      <c r="W5" s="236"/>
      <c r="X5" s="236"/>
      <c r="Y5" s="236"/>
      <c r="Z5" s="236"/>
      <c r="AA5" s="236"/>
      <c r="AB5" s="236"/>
      <c r="AC5" s="236"/>
      <c r="AD5" s="236"/>
      <c r="AE5" s="236"/>
    </row>
    <row r="6" spans="1:31" ht="12.75" hidden="1" x14ac:dyDescent="0.2">
      <c r="A6" s="361" t="s">
        <v>6</v>
      </c>
      <c r="B6" s="960" t="s">
        <v>7</v>
      </c>
      <c r="C6" s="961"/>
      <c r="D6" s="961"/>
      <c r="E6" s="961"/>
      <c r="F6" s="961"/>
      <c r="G6" s="961"/>
      <c r="H6" s="961"/>
      <c r="I6" s="991"/>
      <c r="K6" s="1"/>
      <c r="L6" s="1"/>
      <c r="M6" s="1"/>
      <c r="N6" s="1"/>
    </row>
    <row r="7" spans="1:31" hidden="1" x14ac:dyDescent="0.25">
      <c r="A7" s="2" t="s">
        <v>8</v>
      </c>
      <c r="B7" s="362" t="s">
        <v>9</v>
      </c>
      <c r="C7" s="363"/>
      <c r="D7" s="363"/>
      <c r="E7" s="363"/>
      <c r="F7" s="363"/>
      <c r="G7" s="376"/>
      <c r="H7" s="363"/>
      <c r="I7" s="364"/>
      <c r="K7" s="1"/>
      <c r="L7" s="1"/>
      <c r="M7" s="1"/>
      <c r="N7" s="1"/>
    </row>
    <row r="8" spans="1:31" ht="24.75" hidden="1" customHeight="1" x14ac:dyDescent="0.2">
      <c r="A8" s="296" t="s">
        <v>10</v>
      </c>
      <c r="B8" s="3" t="s">
        <v>11</v>
      </c>
      <c r="C8" s="193" t="s">
        <v>12</v>
      </c>
      <c r="D8" s="4" t="s">
        <v>13</v>
      </c>
      <c r="E8" s="5" t="s">
        <v>14</v>
      </c>
      <c r="F8" s="3" t="s">
        <v>15</v>
      </c>
      <c r="G8" s="377" t="s">
        <v>16</v>
      </c>
      <c r="H8" s="3" t="s">
        <v>17</v>
      </c>
      <c r="I8" s="103" t="s">
        <v>18</v>
      </c>
      <c r="K8" s="1"/>
      <c r="L8" s="1"/>
      <c r="M8" s="1"/>
      <c r="N8" s="1"/>
    </row>
    <row r="9" spans="1:31" ht="60.75" customHeight="1" x14ac:dyDescent="0.2">
      <c r="A9" s="41" t="s">
        <v>321</v>
      </c>
      <c r="B9" s="8">
        <v>2</v>
      </c>
      <c r="C9" s="194">
        <v>109323515</v>
      </c>
      <c r="D9" s="15">
        <f>22025490+20900100+33761674+32636251</f>
        <v>109323515</v>
      </c>
      <c r="E9" s="10">
        <f>C9-D9</f>
        <v>0</v>
      </c>
      <c r="F9" s="11">
        <f>E9/C9</f>
        <v>0</v>
      </c>
      <c r="G9" s="378" t="s">
        <v>450</v>
      </c>
      <c r="H9" s="3"/>
      <c r="I9" s="103"/>
      <c r="K9" s="1"/>
      <c r="L9" s="1"/>
      <c r="M9" s="1"/>
      <c r="N9" s="1"/>
    </row>
    <row r="10" spans="1:31" ht="24.75" hidden="1" customHeight="1" x14ac:dyDescent="0.2">
      <c r="A10" s="879" t="s">
        <v>320</v>
      </c>
      <c r="B10" s="880"/>
      <c r="C10" s="195">
        <f>C9</f>
        <v>109323515</v>
      </c>
      <c r="D10" s="16">
        <f>D9</f>
        <v>109323515</v>
      </c>
      <c r="E10" s="16">
        <f>E9</f>
        <v>0</v>
      </c>
      <c r="F10" s="18">
        <f>E10/C10</f>
        <v>0</v>
      </c>
      <c r="G10" s="379"/>
      <c r="H10" s="20"/>
      <c r="I10" s="105"/>
      <c r="K10" s="1"/>
      <c r="L10" s="1"/>
      <c r="M10" s="1"/>
      <c r="N10" s="1"/>
    </row>
    <row r="11" spans="1:31" ht="24.75" customHeight="1" x14ac:dyDescent="0.2">
      <c r="A11" s="981" t="s">
        <v>21</v>
      </c>
      <c r="B11" s="982"/>
      <c r="C11" s="982"/>
      <c r="D11" s="982"/>
      <c r="E11" s="982"/>
      <c r="F11" s="982"/>
      <c r="G11" s="982"/>
      <c r="H11" s="982"/>
      <c r="I11" s="983"/>
      <c r="K11" s="1"/>
      <c r="L11" s="1"/>
      <c r="M11" s="1"/>
      <c r="N11" s="1"/>
    </row>
    <row r="12" spans="1:31" ht="12.75" hidden="1" x14ac:dyDescent="0.2">
      <c r="A12" s="2" t="s">
        <v>25</v>
      </c>
      <c r="B12" s="960" t="s">
        <v>26</v>
      </c>
      <c r="C12" s="961"/>
      <c r="D12" s="961"/>
      <c r="E12" s="961"/>
      <c r="F12" s="961"/>
      <c r="G12" s="961"/>
      <c r="H12" s="961"/>
      <c r="I12" s="962"/>
    </row>
    <row r="13" spans="1:31" ht="12.75" hidden="1" x14ac:dyDescent="0.2">
      <c r="A13" s="2" t="s">
        <v>3</v>
      </c>
      <c r="B13" s="960" t="s">
        <v>27</v>
      </c>
      <c r="C13" s="961"/>
      <c r="D13" s="961"/>
      <c r="E13" s="961"/>
      <c r="F13" s="961"/>
      <c r="G13" s="961"/>
      <c r="H13" s="961"/>
      <c r="I13" s="962"/>
    </row>
    <row r="14" spans="1:31" ht="12.75" hidden="1" customHeight="1" x14ac:dyDescent="0.2">
      <c r="A14" s="2" t="s">
        <v>5</v>
      </c>
      <c r="B14" s="839" t="s">
        <v>28</v>
      </c>
      <c r="C14" s="840"/>
      <c r="D14" s="840"/>
      <c r="E14" s="840"/>
      <c r="F14" s="840"/>
      <c r="G14" s="840"/>
      <c r="H14" s="840"/>
      <c r="I14" s="841"/>
    </row>
    <row r="15" spans="1:31" ht="12.75" hidden="1" customHeight="1" x14ac:dyDescent="0.2">
      <c r="A15" s="2" t="s">
        <v>6</v>
      </c>
      <c r="B15" s="960" t="s">
        <v>7</v>
      </c>
      <c r="C15" s="961"/>
      <c r="D15" s="961"/>
      <c r="E15" s="961"/>
      <c r="F15" s="961"/>
      <c r="G15" s="961"/>
      <c r="H15" s="961"/>
      <c r="I15" s="962"/>
    </row>
    <row r="16" spans="1:31" ht="21" hidden="1" customHeight="1" x14ac:dyDescent="0.2">
      <c r="A16" s="299" t="s">
        <v>8</v>
      </c>
      <c r="B16" s="842" t="s">
        <v>21</v>
      </c>
      <c r="C16" s="843"/>
      <c r="D16" s="843"/>
      <c r="E16" s="843"/>
      <c r="F16" s="843"/>
      <c r="G16" s="843"/>
      <c r="H16" s="843"/>
      <c r="I16" s="844"/>
    </row>
    <row r="17" spans="1:14" ht="38.25" hidden="1" x14ac:dyDescent="0.2">
      <c r="A17" s="296" t="s">
        <v>10</v>
      </c>
      <c r="B17" s="3" t="s">
        <v>11</v>
      </c>
      <c r="C17" s="193" t="s">
        <v>12</v>
      </c>
      <c r="D17" s="4" t="s">
        <v>13</v>
      </c>
      <c r="E17" s="5" t="s">
        <v>14</v>
      </c>
      <c r="F17" s="3" t="s">
        <v>15</v>
      </c>
      <c r="G17" s="377" t="s">
        <v>16</v>
      </c>
      <c r="H17" s="3" t="s">
        <v>17</v>
      </c>
      <c r="I17" s="103" t="s">
        <v>18</v>
      </c>
    </row>
    <row r="18" spans="1:14" ht="63" hidden="1" customHeight="1" x14ac:dyDescent="0.2">
      <c r="A18" s="118" t="s">
        <v>211</v>
      </c>
      <c r="B18" s="8">
        <v>1</v>
      </c>
      <c r="C18" s="120">
        <v>6000000</v>
      </c>
      <c r="D18" s="15">
        <v>6000000</v>
      </c>
      <c r="E18" s="10">
        <f>C18-D18</f>
        <v>0</v>
      </c>
      <c r="F18" s="11">
        <f>E18/C18</f>
        <v>0</v>
      </c>
      <c r="G18" s="380" t="s">
        <v>413</v>
      </c>
      <c r="H18" s="13"/>
      <c r="I18" s="104"/>
    </row>
    <row r="19" spans="1:14" ht="398.25" customHeight="1" x14ac:dyDescent="0.2">
      <c r="A19" s="119" t="s">
        <v>212</v>
      </c>
      <c r="B19" s="8">
        <v>13</v>
      </c>
      <c r="C19" s="121">
        <f>580018765+6122663+19473093</f>
        <v>605614521</v>
      </c>
      <c r="D19" s="15">
        <f>22025490+22025490+22025490+22025490+22025490+17858224+10325416+12085181+22025490+16945760+20900100+16945280+33761674+33761674+33761674+15827188+33761674+27373928+27373928+33761674+18260091+33761674+33761674+33761674+19473093</f>
        <v>605614521</v>
      </c>
      <c r="E19" s="10">
        <f>C19-D19</f>
        <v>0</v>
      </c>
      <c r="F19" s="11">
        <f>E19/C19</f>
        <v>0</v>
      </c>
      <c r="G19" s="380" t="s">
        <v>455</v>
      </c>
      <c r="H19" s="13"/>
      <c r="I19" s="291"/>
      <c r="K19" s="1"/>
      <c r="L19" s="1"/>
      <c r="M19" s="1"/>
      <c r="N19" s="1"/>
    </row>
    <row r="20" spans="1:14" hidden="1" x14ac:dyDescent="0.2">
      <c r="A20" s="879" t="s">
        <v>219</v>
      </c>
      <c r="B20" s="880"/>
      <c r="C20" s="195">
        <f>SUM(C12:C19)</f>
        <v>611614521</v>
      </c>
      <c r="D20" s="16">
        <f>SUM(D12:D19)</f>
        <v>611614521</v>
      </c>
      <c r="E20" s="17">
        <f>C20-D20</f>
        <v>0</v>
      </c>
      <c r="F20" s="18">
        <f>E20/C20</f>
        <v>0</v>
      </c>
      <c r="G20" s="379"/>
      <c r="H20" s="20"/>
      <c r="I20" s="105"/>
      <c r="K20" s="1"/>
      <c r="L20" s="1"/>
      <c r="M20" s="1"/>
      <c r="N20" s="1"/>
    </row>
    <row r="21" spans="1:14" ht="12.75" hidden="1" x14ac:dyDescent="0.2">
      <c r="A21" s="968" t="s">
        <v>29</v>
      </c>
      <c r="B21" s="969"/>
      <c r="C21" s="969"/>
      <c r="D21" s="969"/>
      <c r="E21" s="969"/>
      <c r="F21" s="969"/>
      <c r="G21" s="969"/>
      <c r="H21" s="969"/>
      <c r="I21" s="970"/>
      <c r="K21" s="1"/>
      <c r="L21" s="1"/>
      <c r="M21" s="1"/>
      <c r="N21" s="1"/>
    </row>
    <row r="22" spans="1:14" ht="12.75" hidden="1" x14ac:dyDescent="0.2">
      <c r="A22" s="2" t="s">
        <v>1</v>
      </c>
      <c r="B22" s="960" t="s">
        <v>45</v>
      </c>
      <c r="C22" s="961"/>
      <c r="D22" s="961"/>
      <c r="E22" s="961"/>
      <c r="F22" s="961"/>
      <c r="G22" s="961"/>
      <c r="H22" s="961"/>
      <c r="I22" s="962"/>
      <c r="K22" s="1"/>
      <c r="L22" s="1"/>
      <c r="M22" s="1"/>
      <c r="N22" s="1"/>
    </row>
    <row r="23" spans="1:14" ht="12.75" hidden="1" x14ac:dyDescent="0.2">
      <c r="A23" s="2" t="s">
        <v>3</v>
      </c>
      <c r="B23" s="960" t="s">
        <v>4</v>
      </c>
      <c r="C23" s="961"/>
      <c r="D23" s="961"/>
      <c r="E23" s="961"/>
      <c r="F23" s="961"/>
      <c r="G23" s="961"/>
      <c r="H23" s="961"/>
      <c r="I23" s="962"/>
      <c r="K23" s="1"/>
      <c r="L23" s="1"/>
      <c r="M23" s="1"/>
      <c r="N23" s="1"/>
    </row>
    <row r="24" spans="1:14" ht="12.75" hidden="1" customHeight="1" x14ac:dyDescent="0.2">
      <c r="A24" s="2" t="s">
        <v>5</v>
      </c>
      <c r="B24" s="960" t="s">
        <v>213</v>
      </c>
      <c r="C24" s="961"/>
      <c r="D24" s="961"/>
      <c r="E24" s="961"/>
      <c r="F24" s="961"/>
      <c r="G24" s="961"/>
      <c r="H24" s="961"/>
      <c r="I24" s="962"/>
      <c r="K24" s="1"/>
      <c r="L24" s="1"/>
      <c r="M24" s="1"/>
      <c r="N24" s="1"/>
    </row>
    <row r="25" spans="1:14" ht="12.75" hidden="1" x14ac:dyDescent="0.2">
      <c r="A25" s="2" t="s">
        <v>6</v>
      </c>
      <c r="B25" s="960" t="s">
        <v>7</v>
      </c>
      <c r="C25" s="961"/>
      <c r="D25" s="961"/>
      <c r="E25" s="961"/>
      <c r="F25" s="961"/>
      <c r="G25" s="961"/>
      <c r="H25" s="961"/>
      <c r="I25" s="962"/>
      <c r="K25" s="1"/>
      <c r="L25" s="1"/>
      <c r="M25" s="1"/>
      <c r="N25" s="1"/>
    </row>
    <row r="26" spans="1:14" ht="12.75" hidden="1" x14ac:dyDescent="0.2">
      <c r="A26" s="2" t="s">
        <v>8</v>
      </c>
      <c r="B26" s="960" t="s">
        <v>29</v>
      </c>
      <c r="C26" s="961"/>
      <c r="D26" s="961"/>
      <c r="E26" s="961"/>
      <c r="F26" s="961"/>
      <c r="G26" s="961"/>
      <c r="H26" s="961"/>
      <c r="I26" s="962"/>
      <c r="K26" s="1"/>
      <c r="L26" s="1"/>
      <c r="M26" s="1"/>
      <c r="N26" s="1"/>
    </row>
    <row r="27" spans="1:14" ht="49.5" hidden="1" customHeight="1" x14ac:dyDescent="0.2">
      <c r="A27" s="296" t="s">
        <v>10</v>
      </c>
      <c r="B27" s="3" t="s">
        <v>11</v>
      </c>
      <c r="C27" s="193" t="s">
        <v>12</v>
      </c>
      <c r="D27" s="4" t="s">
        <v>13</v>
      </c>
      <c r="E27" s="5" t="s">
        <v>14</v>
      </c>
      <c r="F27" s="3" t="s">
        <v>15</v>
      </c>
      <c r="G27" s="377" t="s">
        <v>16</v>
      </c>
      <c r="H27" s="3" t="s">
        <v>17</v>
      </c>
      <c r="I27" s="103" t="s">
        <v>18</v>
      </c>
      <c r="K27" s="1"/>
      <c r="L27" s="1"/>
      <c r="M27" s="1"/>
      <c r="N27" s="1"/>
    </row>
    <row r="28" spans="1:14" s="27" customFormat="1" ht="70.5" hidden="1" customHeight="1" x14ac:dyDescent="0.2">
      <c r="A28" s="122" t="s">
        <v>30</v>
      </c>
      <c r="B28" s="286">
        <v>15</v>
      </c>
      <c r="C28" s="198">
        <v>15000000</v>
      </c>
      <c r="D28" s="15">
        <v>15000000</v>
      </c>
      <c r="E28" s="10">
        <f>C28-D28</f>
        <v>0</v>
      </c>
      <c r="F28" s="11">
        <f>E28/C28</f>
        <v>0</v>
      </c>
      <c r="G28" s="380" t="s">
        <v>422</v>
      </c>
      <c r="H28" s="30"/>
      <c r="I28" s="106"/>
    </row>
    <row r="29" spans="1:14" ht="289.5" customHeight="1" x14ac:dyDescent="0.2">
      <c r="A29" s="289" t="s">
        <v>406</v>
      </c>
      <c r="B29" s="286">
        <v>6</v>
      </c>
      <c r="C29" s="198">
        <v>305414767</v>
      </c>
      <c r="D29" s="15">
        <f>18207000+9906752+12218520+12218520+12218520+12218520+33279390+32957850+26727160+33761674+44981972+33761674</f>
        <v>282457552</v>
      </c>
      <c r="E29" s="10">
        <f>C29-D29</f>
        <v>22957215</v>
      </c>
      <c r="F29" s="11">
        <f>E29/C29</f>
        <v>7.5167337930323458E-2</v>
      </c>
      <c r="G29" s="380" t="s">
        <v>446</v>
      </c>
      <c r="H29" s="290"/>
      <c r="I29" s="104"/>
    </row>
    <row r="30" spans="1:14" ht="137.25" customHeight="1" x14ac:dyDescent="0.2">
      <c r="A30" s="41" t="s">
        <v>411</v>
      </c>
      <c r="B30" s="286">
        <v>3</v>
      </c>
      <c r="C30" s="198">
        <v>131629347</v>
      </c>
      <c r="D30" s="15">
        <f>17888224+12085181+22025490+33761674+27373928+18494850</f>
        <v>131629347</v>
      </c>
      <c r="E30" s="10">
        <f>C30-D30</f>
        <v>0</v>
      </c>
      <c r="F30" s="11">
        <f>E30/C30</f>
        <v>0</v>
      </c>
      <c r="G30" s="380" t="s">
        <v>452</v>
      </c>
      <c r="H30" s="13"/>
      <c r="I30" s="104"/>
    </row>
    <row r="31" spans="1:14" ht="12.75" hidden="1" x14ac:dyDescent="0.2">
      <c r="A31" s="2" t="s">
        <v>1</v>
      </c>
      <c r="B31" s="960" t="s">
        <v>45</v>
      </c>
      <c r="C31" s="961"/>
      <c r="D31" s="961"/>
      <c r="E31" s="961"/>
      <c r="F31" s="961"/>
      <c r="G31" s="961"/>
      <c r="H31" s="961"/>
      <c r="I31" s="962"/>
    </row>
    <row r="32" spans="1:14" ht="12.75" hidden="1" x14ac:dyDescent="0.2">
      <c r="A32" s="2" t="s">
        <v>3</v>
      </c>
      <c r="B32" s="960" t="s">
        <v>4</v>
      </c>
      <c r="C32" s="961"/>
      <c r="D32" s="961"/>
      <c r="E32" s="961"/>
      <c r="F32" s="961"/>
      <c r="G32" s="961"/>
      <c r="H32" s="961"/>
      <c r="I32" s="962"/>
    </row>
    <row r="33" spans="1:14" ht="12.75" hidden="1" x14ac:dyDescent="0.2">
      <c r="A33" s="2" t="s">
        <v>5</v>
      </c>
      <c r="B33" s="960" t="s">
        <v>214</v>
      </c>
      <c r="C33" s="961"/>
      <c r="D33" s="961"/>
      <c r="E33" s="961"/>
      <c r="F33" s="961"/>
      <c r="G33" s="961"/>
      <c r="H33" s="961"/>
      <c r="I33" s="962"/>
    </row>
    <row r="34" spans="1:14" ht="12.75" hidden="1" x14ac:dyDescent="0.2">
      <c r="A34" s="2" t="s">
        <v>6</v>
      </c>
      <c r="B34" s="960" t="s">
        <v>7</v>
      </c>
      <c r="C34" s="961"/>
      <c r="D34" s="961"/>
      <c r="E34" s="961"/>
      <c r="F34" s="961"/>
      <c r="G34" s="961"/>
      <c r="H34" s="961"/>
      <c r="I34" s="962"/>
    </row>
    <row r="35" spans="1:14" ht="12.75" hidden="1" x14ac:dyDescent="0.2">
      <c r="A35" s="2" t="s">
        <v>8</v>
      </c>
      <c r="B35" s="960" t="s">
        <v>29</v>
      </c>
      <c r="C35" s="961"/>
      <c r="D35" s="961"/>
      <c r="E35" s="961"/>
      <c r="F35" s="961"/>
      <c r="G35" s="961"/>
      <c r="H35" s="961"/>
      <c r="I35" s="962"/>
    </row>
    <row r="36" spans="1:14" ht="38.25" hidden="1" x14ac:dyDescent="0.2">
      <c r="A36" s="296" t="s">
        <v>10</v>
      </c>
      <c r="B36" s="3" t="s">
        <v>11</v>
      </c>
      <c r="C36" s="193" t="s">
        <v>12</v>
      </c>
      <c r="D36" s="4" t="s">
        <v>13</v>
      </c>
      <c r="E36" s="5" t="s">
        <v>14</v>
      </c>
      <c r="F36" s="3" t="s">
        <v>15</v>
      </c>
      <c r="G36" s="377" t="s">
        <v>16</v>
      </c>
      <c r="H36" s="3" t="s">
        <v>17</v>
      </c>
      <c r="I36" s="103" t="s">
        <v>18</v>
      </c>
    </row>
    <row r="37" spans="1:14" s="27" customFormat="1" ht="27.75" hidden="1" customHeight="1" x14ac:dyDescent="0.2">
      <c r="A37" s="123" t="s">
        <v>215</v>
      </c>
      <c r="B37" s="286">
        <v>1</v>
      </c>
      <c r="C37" s="197">
        <v>25000000</v>
      </c>
      <c r="D37" s="35">
        <f>24000000+1000000</f>
        <v>25000000</v>
      </c>
      <c r="E37" s="28">
        <v>0</v>
      </c>
      <c r="F37" s="29">
        <f>E37/C37</f>
        <v>0</v>
      </c>
      <c r="G37" s="381" t="s">
        <v>427</v>
      </c>
      <c r="H37" s="30"/>
      <c r="I37" s="106"/>
      <c r="K37" s="31"/>
      <c r="L37" s="31"/>
      <c r="M37" s="31"/>
      <c r="N37" s="31"/>
    </row>
    <row r="38" spans="1:14" s="27" customFormat="1" ht="27.75" hidden="1" customHeight="1" x14ac:dyDescent="0.2">
      <c r="A38" s="123" t="s">
        <v>216</v>
      </c>
      <c r="B38" s="286">
        <v>1</v>
      </c>
      <c r="C38" s="197">
        <v>10000000</v>
      </c>
      <c r="D38" s="35">
        <v>10000000</v>
      </c>
      <c r="E38" s="28">
        <v>0</v>
      </c>
      <c r="F38" s="29">
        <f>E38/C38</f>
        <v>0</v>
      </c>
      <c r="G38" s="381" t="s">
        <v>414</v>
      </c>
      <c r="H38" s="30"/>
      <c r="I38" s="106"/>
      <c r="K38" s="31"/>
      <c r="L38" s="31"/>
      <c r="M38" s="31"/>
      <c r="N38" s="31"/>
    </row>
    <row r="39" spans="1:14" s="27" customFormat="1" ht="27.75" hidden="1" customHeight="1" x14ac:dyDescent="0.2">
      <c r="A39" s="123" t="s">
        <v>217</v>
      </c>
      <c r="B39" s="286">
        <v>1</v>
      </c>
      <c r="C39" s="197">
        <v>12000000</v>
      </c>
      <c r="D39" s="35">
        <v>12000000</v>
      </c>
      <c r="E39" s="28">
        <v>0</v>
      </c>
      <c r="F39" s="29">
        <f>E39/C39</f>
        <v>0</v>
      </c>
      <c r="G39" s="381" t="s">
        <v>414</v>
      </c>
      <c r="H39" s="30"/>
      <c r="I39" s="106"/>
      <c r="K39" s="31"/>
      <c r="L39" s="31"/>
      <c r="M39" s="31"/>
      <c r="N39" s="31"/>
    </row>
    <row r="40" spans="1:14" ht="12.75" hidden="1" x14ac:dyDescent="0.2">
      <c r="A40" s="2" t="s">
        <v>1</v>
      </c>
      <c r="B40" s="960" t="s">
        <v>2</v>
      </c>
      <c r="C40" s="961"/>
      <c r="D40" s="961"/>
      <c r="E40" s="961"/>
      <c r="F40" s="961"/>
      <c r="G40" s="961"/>
      <c r="H40" s="961"/>
      <c r="I40" s="962"/>
      <c r="K40" s="1"/>
      <c r="L40" s="1"/>
      <c r="M40" s="1"/>
      <c r="N40" s="1"/>
    </row>
    <row r="41" spans="1:14" ht="12.75" hidden="1" x14ac:dyDescent="0.2">
      <c r="A41" s="2" t="s">
        <v>3</v>
      </c>
      <c r="B41" s="960"/>
      <c r="C41" s="961"/>
      <c r="D41" s="961"/>
      <c r="E41" s="961"/>
      <c r="F41" s="961"/>
      <c r="G41" s="961"/>
      <c r="H41" s="961"/>
      <c r="I41" s="962"/>
      <c r="K41" s="1"/>
      <c r="L41" s="1"/>
      <c r="M41" s="1"/>
      <c r="N41" s="1"/>
    </row>
    <row r="42" spans="1:14" ht="12.75" hidden="1" x14ac:dyDescent="0.2">
      <c r="A42" s="2" t="s">
        <v>5</v>
      </c>
      <c r="B42" s="960" t="s">
        <v>218</v>
      </c>
      <c r="C42" s="961"/>
      <c r="D42" s="961"/>
      <c r="E42" s="961"/>
      <c r="F42" s="961"/>
      <c r="G42" s="961"/>
      <c r="H42" s="961"/>
      <c r="I42" s="962"/>
      <c r="K42" s="1"/>
      <c r="L42" s="1"/>
      <c r="M42" s="1"/>
      <c r="N42" s="1"/>
    </row>
    <row r="43" spans="1:14" ht="12.75" hidden="1" x14ac:dyDescent="0.2">
      <c r="A43" s="2" t="s">
        <v>6</v>
      </c>
      <c r="B43" s="960" t="s">
        <v>7</v>
      </c>
      <c r="C43" s="961"/>
      <c r="D43" s="961"/>
      <c r="E43" s="961"/>
      <c r="F43" s="961"/>
      <c r="G43" s="961"/>
      <c r="H43" s="961"/>
      <c r="I43" s="962"/>
      <c r="K43" s="1"/>
      <c r="L43" s="1"/>
      <c r="M43" s="1"/>
      <c r="N43" s="1"/>
    </row>
    <row r="44" spans="1:14" ht="12.75" hidden="1" x14ac:dyDescent="0.2">
      <c r="A44" s="2" t="s">
        <v>8</v>
      </c>
      <c r="B44" s="960" t="s">
        <v>29</v>
      </c>
      <c r="C44" s="961"/>
      <c r="D44" s="961"/>
      <c r="E44" s="961"/>
      <c r="F44" s="961"/>
      <c r="G44" s="961"/>
      <c r="H44" s="961"/>
      <c r="I44" s="962"/>
      <c r="K44" s="1"/>
      <c r="L44" s="1"/>
      <c r="M44" s="1"/>
      <c r="N44" s="1"/>
    </row>
    <row r="45" spans="1:14" ht="38.25" hidden="1" x14ac:dyDescent="0.2">
      <c r="A45" s="296" t="s">
        <v>10</v>
      </c>
      <c r="B45" s="3" t="s">
        <v>11</v>
      </c>
      <c r="C45" s="193" t="s">
        <v>12</v>
      </c>
      <c r="D45" s="4" t="s">
        <v>13</v>
      </c>
      <c r="E45" s="5" t="s">
        <v>14</v>
      </c>
      <c r="F45" s="3" t="s">
        <v>15</v>
      </c>
      <c r="G45" s="377" t="s">
        <v>16</v>
      </c>
      <c r="H45" s="3" t="s">
        <v>17</v>
      </c>
      <c r="I45" s="103" t="s">
        <v>18</v>
      </c>
      <c r="K45" s="1"/>
      <c r="L45" s="1"/>
      <c r="M45" s="1"/>
      <c r="N45" s="1"/>
    </row>
    <row r="46" spans="1:14" ht="38.25" hidden="1" x14ac:dyDescent="0.2">
      <c r="A46" s="123" t="s">
        <v>220</v>
      </c>
      <c r="B46" s="8">
        <v>1</v>
      </c>
      <c r="C46" s="196">
        <v>17000000</v>
      </c>
      <c r="D46" s="15">
        <v>17000000</v>
      </c>
      <c r="E46" s="10">
        <f>C46-D46</f>
        <v>0</v>
      </c>
      <c r="F46" s="11">
        <f>E46/C46</f>
        <v>0</v>
      </c>
      <c r="G46" s="381" t="s">
        <v>414</v>
      </c>
      <c r="H46" s="13"/>
      <c r="I46" s="104"/>
      <c r="K46" s="1"/>
      <c r="L46" s="1"/>
      <c r="M46" s="1"/>
      <c r="N46" s="1"/>
    </row>
    <row r="47" spans="1:14" ht="14.25" hidden="1" x14ac:dyDescent="0.2">
      <c r="A47" s="7" t="s">
        <v>221</v>
      </c>
      <c r="B47" s="8">
        <v>1</v>
      </c>
      <c r="C47" s="196">
        <v>10000000</v>
      </c>
      <c r="D47" s="15">
        <v>10000000</v>
      </c>
      <c r="E47" s="10">
        <f>C47-D47</f>
        <v>0</v>
      </c>
      <c r="F47" s="11">
        <f>E47/C47</f>
        <v>0</v>
      </c>
      <c r="G47" s="381" t="s">
        <v>414</v>
      </c>
      <c r="H47" s="13"/>
      <c r="I47" s="104"/>
      <c r="K47" s="1"/>
      <c r="L47" s="1"/>
      <c r="M47" s="1"/>
      <c r="N47" s="1"/>
    </row>
    <row r="48" spans="1:14" ht="12.75" hidden="1" customHeight="1" x14ac:dyDescent="0.2">
      <c r="A48" s="96"/>
      <c r="B48" s="8"/>
      <c r="C48" s="197">
        <v>0</v>
      </c>
      <c r="D48" s="35">
        <v>0</v>
      </c>
      <c r="E48" s="28">
        <f>C48-D48</f>
        <v>0</v>
      </c>
      <c r="F48" s="29" t="e">
        <f>E48/C48</f>
        <v>#DIV/0!</v>
      </c>
      <c r="G48" s="382"/>
      <c r="H48" s="30"/>
      <c r="I48" s="106"/>
      <c r="K48" s="1"/>
      <c r="L48" s="1"/>
      <c r="M48" s="1"/>
      <c r="N48" s="1"/>
    </row>
    <row r="49" spans="1:14" ht="12.75" hidden="1" x14ac:dyDescent="0.2">
      <c r="A49" s="2" t="s">
        <v>31</v>
      </c>
      <c r="B49" s="960" t="s">
        <v>32</v>
      </c>
      <c r="C49" s="961"/>
      <c r="D49" s="961"/>
      <c r="E49" s="961"/>
      <c r="F49" s="961"/>
      <c r="G49" s="961"/>
      <c r="H49" s="961"/>
      <c r="I49" s="962"/>
      <c r="K49" s="1"/>
      <c r="L49" s="1"/>
      <c r="M49" s="1"/>
      <c r="N49" s="1"/>
    </row>
    <row r="50" spans="1:14" ht="12.75" hidden="1" x14ac:dyDescent="0.2">
      <c r="A50" s="2" t="s">
        <v>3</v>
      </c>
      <c r="B50" s="960" t="s">
        <v>33</v>
      </c>
      <c r="C50" s="961"/>
      <c r="D50" s="961"/>
      <c r="E50" s="961"/>
      <c r="F50" s="961"/>
      <c r="G50" s="961"/>
      <c r="H50" s="961"/>
      <c r="I50" s="962"/>
      <c r="K50" s="1"/>
      <c r="L50" s="1"/>
      <c r="M50" s="1"/>
      <c r="N50" s="1"/>
    </row>
    <row r="51" spans="1:14" s="50" customFormat="1" ht="33" hidden="1" customHeight="1" x14ac:dyDescent="0.25">
      <c r="A51" s="21" t="s">
        <v>5</v>
      </c>
      <c r="B51" s="839" t="s">
        <v>24</v>
      </c>
      <c r="C51" s="840"/>
      <c r="D51" s="840"/>
      <c r="E51" s="840"/>
      <c r="F51" s="840"/>
      <c r="G51" s="840"/>
      <c r="H51" s="840"/>
      <c r="I51" s="841"/>
    </row>
    <row r="52" spans="1:14" ht="12.75" hidden="1" x14ac:dyDescent="0.2">
      <c r="A52" s="21" t="s">
        <v>6</v>
      </c>
      <c r="B52" s="842" t="s">
        <v>7</v>
      </c>
      <c r="C52" s="843"/>
      <c r="D52" s="843"/>
      <c r="E52" s="843"/>
      <c r="F52" s="843"/>
      <c r="G52" s="843"/>
      <c r="H52" s="843"/>
      <c r="I52" s="844"/>
      <c r="K52" s="1"/>
      <c r="L52" s="1"/>
      <c r="M52" s="1"/>
      <c r="N52" s="1"/>
    </row>
    <row r="53" spans="1:14" ht="12.75" hidden="1" x14ac:dyDescent="0.2">
      <c r="A53" s="2" t="s">
        <v>8</v>
      </c>
      <c r="B53" s="960" t="s">
        <v>29</v>
      </c>
      <c r="C53" s="961"/>
      <c r="D53" s="961"/>
      <c r="E53" s="961"/>
      <c r="F53" s="961"/>
      <c r="G53" s="961"/>
      <c r="H53" s="961"/>
      <c r="I53" s="962"/>
      <c r="K53" s="1"/>
      <c r="L53" s="1"/>
      <c r="M53" s="1"/>
      <c r="N53" s="1"/>
    </row>
    <row r="54" spans="1:14" ht="38.25" hidden="1" x14ac:dyDescent="0.2">
      <c r="A54" s="296" t="s">
        <v>10</v>
      </c>
      <c r="B54" s="3" t="s">
        <v>11</v>
      </c>
      <c r="C54" s="193" t="s">
        <v>12</v>
      </c>
      <c r="D54" s="4" t="s">
        <v>13</v>
      </c>
      <c r="E54" s="5" t="s">
        <v>14</v>
      </c>
      <c r="F54" s="3" t="s">
        <v>15</v>
      </c>
      <c r="G54" s="377" t="s">
        <v>16</v>
      </c>
      <c r="H54" s="3" t="s">
        <v>17</v>
      </c>
      <c r="I54" s="103" t="s">
        <v>18</v>
      </c>
      <c r="K54" s="1"/>
      <c r="L54" s="1"/>
      <c r="M54" s="1"/>
      <c r="N54" s="1"/>
    </row>
    <row r="55" spans="1:14" ht="296.25" customHeight="1" x14ac:dyDescent="0.2">
      <c r="A55" s="129" t="s">
        <v>231</v>
      </c>
      <c r="B55" s="8">
        <v>7</v>
      </c>
      <c r="C55" s="198">
        <f>333101630+45819412</f>
        <v>378921042</v>
      </c>
      <c r="D55" s="35">
        <f>22025490+22025490+22025490+22025490+10325416+33085500+50715000+33761674+33761674+33761674+15827188+33761670+33761674</f>
        <v>366863430</v>
      </c>
      <c r="E55" s="28">
        <f t="shared" ref="E55:E61" si="0">C55-D55</f>
        <v>12057612</v>
      </c>
      <c r="F55" s="29">
        <f t="shared" ref="F55:F61" si="1">E55/C55</f>
        <v>3.1820909011434632E-2</v>
      </c>
      <c r="G55" s="378" t="s">
        <v>451</v>
      </c>
      <c r="H55" s="3"/>
      <c r="I55" s="103"/>
      <c r="K55" s="1"/>
      <c r="L55" s="1"/>
      <c r="M55" s="1"/>
      <c r="N55" s="1"/>
    </row>
    <row r="56" spans="1:14" s="27" customFormat="1" ht="63.75" hidden="1" x14ac:dyDescent="0.2">
      <c r="A56" s="22" t="s">
        <v>222</v>
      </c>
      <c r="B56" s="286">
        <v>17</v>
      </c>
      <c r="C56" s="198">
        <v>20500000</v>
      </c>
      <c r="D56" s="35">
        <f>14500000+6000000</f>
        <v>20500000</v>
      </c>
      <c r="E56" s="28">
        <f t="shared" si="0"/>
        <v>0</v>
      </c>
      <c r="F56" s="29">
        <f t="shared" si="1"/>
        <v>0</v>
      </c>
      <c r="G56" s="381" t="s">
        <v>427</v>
      </c>
      <c r="H56" s="30"/>
      <c r="I56" s="106"/>
    </row>
    <row r="57" spans="1:14" s="27" customFormat="1" ht="89.25" hidden="1" x14ac:dyDescent="0.2">
      <c r="A57" s="22" t="s">
        <v>223</v>
      </c>
      <c r="B57" s="38">
        <v>11</v>
      </c>
      <c r="C57" s="197">
        <v>21000000</v>
      </c>
      <c r="D57" s="35">
        <f>15000000+4000000+2000000</f>
        <v>21000000</v>
      </c>
      <c r="E57" s="28">
        <f t="shared" si="0"/>
        <v>0</v>
      </c>
      <c r="F57" s="29">
        <f t="shared" si="1"/>
        <v>0</v>
      </c>
      <c r="G57" s="381" t="s">
        <v>436</v>
      </c>
      <c r="H57" s="38"/>
      <c r="I57" s="109"/>
    </row>
    <row r="58" spans="1:14" s="27" customFormat="1" ht="60.75" hidden="1" customHeight="1" x14ac:dyDescent="0.2">
      <c r="A58" s="124" t="s">
        <v>224</v>
      </c>
      <c r="B58" s="34">
        <v>11</v>
      </c>
      <c r="C58" s="199">
        <v>2000000</v>
      </c>
      <c r="D58" s="35">
        <f>1500000+500000</f>
        <v>2000000</v>
      </c>
      <c r="E58" s="28">
        <f t="shared" si="0"/>
        <v>0</v>
      </c>
      <c r="F58" s="29">
        <f t="shared" si="1"/>
        <v>0</v>
      </c>
      <c r="G58" s="381" t="s">
        <v>427</v>
      </c>
      <c r="H58" s="38"/>
      <c r="I58" s="109"/>
    </row>
    <row r="59" spans="1:14" s="27" customFormat="1" ht="44.25" hidden="1" customHeight="1" x14ac:dyDescent="0.2">
      <c r="A59" s="14" t="s">
        <v>369</v>
      </c>
      <c r="B59" s="34">
        <v>11</v>
      </c>
      <c r="C59" s="200">
        <v>9500000</v>
      </c>
      <c r="D59" s="35">
        <f>3000000+1500000</f>
        <v>4500000</v>
      </c>
      <c r="E59" s="28">
        <f t="shared" si="0"/>
        <v>5000000</v>
      </c>
      <c r="F59" s="29">
        <f t="shared" si="1"/>
        <v>0.52631578947368418</v>
      </c>
      <c r="G59" s="381" t="s">
        <v>427</v>
      </c>
      <c r="H59" s="38"/>
      <c r="I59" s="109"/>
    </row>
    <row r="60" spans="1:14" s="27" customFormat="1" ht="36.75" hidden="1" customHeight="1" x14ac:dyDescent="0.2">
      <c r="A60" s="125" t="s">
        <v>22</v>
      </c>
      <c r="B60" s="34">
        <v>6</v>
      </c>
      <c r="C60" s="199">
        <v>3000000</v>
      </c>
      <c r="D60" s="35">
        <f>2500000+500000</f>
        <v>3000000</v>
      </c>
      <c r="E60" s="28">
        <f t="shared" si="0"/>
        <v>0</v>
      </c>
      <c r="F60" s="29">
        <f t="shared" si="1"/>
        <v>0</v>
      </c>
      <c r="G60" s="381" t="s">
        <v>427</v>
      </c>
      <c r="H60" s="38"/>
      <c r="I60" s="109"/>
    </row>
    <row r="61" spans="1:14" s="27" customFormat="1" ht="38.25" hidden="1" customHeight="1" x14ac:dyDescent="0.2">
      <c r="A61" s="22" t="s">
        <v>23</v>
      </c>
      <c r="B61" s="126" t="s">
        <v>225</v>
      </c>
      <c r="C61" s="244">
        <v>10000000</v>
      </c>
      <c r="D61" s="35">
        <f>5000000+5000000</f>
        <v>10000000</v>
      </c>
      <c r="E61" s="28">
        <f t="shared" si="0"/>
        <v>0</v>
      </c>
      <c r="F61" s="29">
        <f t="shared" si="1"/>
        <v>0</v>
      </c>
      <c r="G61" s="381" t="s">
        <v>427</v>
      </c>
      <c r="H61" s="38"/>
      <c r="I61" s="109"/>
    </row>
    <row r="62" spans="1:14" ht="25.5" hidden="1" customHeight="1" x14ac:dyDescent="0.2">
      <c r="A62" s="879" t="s">
        <v>34</v>
      </c>
      <c r="B62" s="880"/>
      <c r="C62" s="195">
        <f>SUM(C28:C61)</f>
        <v>970965156</v>
      </c>
      <c r="D62" s="195">
        <f>SUM(D28:D61)</f>
        <v>930950329</v>
      </c>
      <c r="E62" s="17">
        <f>C62-D62</f>
        <v>40014827</v>
      </c>
      <c r="F62" s="18">
        <f>E62/C62</f>
        <v>4.1211393377745473E-2</v>
      </c>
      <c r="G62" s="379"/>
      <c r="H62" s="20"/>
      <c r="I62" s="105"/>
    </row>
    <row r="63" spans="1:14" ht="12.75" x14ac:dyDescent="0.2">
      <c r="A63" s="968" t="s">
        <v>44</v>
      </c>
      <c r="B63" s="969"/>
      <c r="C63" s="969"/>
      <c r="D63" s="969"/>
      <c r="E63" s="969"/>
      <c r="F63" s="969"/>
      <c r="G63" s="969"/>
      <c r="H63" s="969"/>
      <c r="I63" s="970"/>
    </row>
    <row r="64" spans="1:14" ht="12.75" hidden="1" x14ac:dyDescent="0.2">
      <c r="A64" s="2" t="s">
        <v>1</v>
      </c>
      <c r="B64" s="960" t="s">
        <v>45</v>
      </c>
      <c r="C64" s="961"/>
      <c r="D64" s="961"/>
      <c r="E64" s="961"/>
      <c r="F64" s="961"/>
      <c r="G64" s="961"/>
      <c r="H64" s="961"/>
      <c r="I64" s="962"/>
    </row>
    <row r="65" spans="1:14" ht="12.75" hidden="1" x14ac:dyDescent="0.2">
      <c r="A65" s="2" t="s">
        <v>3</v>
      </c>
      <c r="B65" s="960" t="s">
        <v>46</v>
      </c>
      <c r="C65" s="961"/>
      <c r="D65" s="961"/>
      <c r="E65" s="961"/>
      <c r="F65" s="961"/>
      <c r="G65" s="961"/>
      <c r="H65" s="961"/>
      <c r="I65" s="962"/>
    </row>
    <row r="66" spans="1:14" ht="12.75" hidden="1" customHeight="1" x14ac:dyDescent="0.2">
      <c r="A66" s="2" t="s">
        <v>5</v>
      </c>
      <c r="B66" s="960" t="s">
        <v>47</v>
      </c>
      <c r="C66" s="961"/>
      <c r="D66" s="961"/>
      <c r="E66" s="961"/>
      <c r="F66" s="961"/>
      <c r="G66" s="961"/>
      <c r="H66" s="961"/>
      <c r="I66" s="962"/>
    </row>
    <row r="67" spans="1:14" ht="12.75" hidden="1" x14ac:dyDescent="0.2">
      <c r="A67" s="2" t="s">
        <v>6</v>
      </c>
      <c r="B67" s="960" t="s">
        <v>48</v>
      </c>
      <c r="C67" s="961"/>
      <c r="D67" s="961"/>
      <c r="E67" s="961"/>
      <c r="F67" s="961"/>
      <c r="G67" s="961"/>
      <c r="H67" s="961"/>
      <c r="I67" s="962"/>
    </row>
    <row r="68" spans="1:14" ht="12.75" hidden="1" x14ac:dyDescent="0.2">
      <c r="A68" s="2" t="s">
        <v>8</v>
      </c>
      <c r="B68" s="960" t="s">
        <v>44</v>
      </c>
      <c r="C68" s="961"/>
      <c r="D68" s="961"/>
      <c r="E68" s="961"/>
      <c r="F68" s="961"/>
      <c r="G68" s="961"/>
      <c r="H68" s="961"/>
      <c r="I68" s="962"/>
    </row>
    <row r="69" spans="1:14" ht="38.25" hidden="1" x14ac:dyDescent="0.2">
      <c r="A69" s="296" t="s">
        <v>10</v>
      </c>
      <c r="B69" s="3" t="s">
        <v>11</v>
      </c>
      <c r="C69" s="193" t="s">
        <v>12</v>
      </c>
      <c r="D69" s="4" t="s">
        <v>13</v>
      </c>
      <c r="E69" s="5" t="s">
        <v>14</v>
      </c>
      <c r="F69" s="3" t="s">
        <v>15</v>
      </c>
      <c r="G69" s="377" t="s">
        <v>16</v>
      </c>
      <c r="H69" s="3" t="s">
        <v>17</v>
      </c>
      <c r="I69" s="103" t="s">
        <v>18</v>
      </c>
    </row>
    <row r="70" spans="1:14" s="27" customFormat="1" ht="45" hidden="1" customHeight="1" x14ac:dyDescent="0.2">
      <c r="A70" s="127" t="s">
        <v>226</v>
      </c>
      <c r="B70" s="130">
        <v>8</v>
      </c>
      <c r="C70" s="246">
        <v>15000000</v>
      </c>
      <c r="D70" s="35">
        <v>15000000</v>
      </c>
      <c r="E70" s="28">
        <f t="shared" ref="E70:E76" si="2">C70-D70</f>
        <v>0</v>
      </c>
      <c r="F70" s="29">
        <f t="shared" ref="F70:F76" si="3">E70/C70</f>
        <v>0</v>
      </c>
      <c r="G70" s="381" t="s">
        <v>423</v>
      </c>
      <c r="H70" s="30"/>
      <c r="I70" s="106"/>
      <c r="K70" s="31"/>
      <c r="L70" s="31"/>
      <c r="M70" s="31"/>
      <c r="N70" s="31"/>
    </row>
    <row r="71" spans="1:14" s="27" customFormat="1" ht="37.5" hidden="1" customHeight="1" x14ac:dyDescent="0.2">
      <c r="A71" s="128" t="s">
        <v>49</v>
      </c>
      <c r="B71" s="130">
        <v>10</v>
      </c>
      <c r="C71" s="247">
        <v>35000000</v>
      </c>
      <c r="D71" s="35">
        <f>34200000+800000</f>
        <v>35000000</v>
      </c>
      <c r="E71" s="28">
        <f t="shared" si="2"/>
        <v>0</v>
      </c>
      <c r="F71" s="29">
        <f t="shared" si="3"/>
        <v>0</v>
      </c>
      <c r="G71" s="381" t="s">
        <v>427</v>
      </c>
      <c r="H71" s="30"/>
      <c r="I71" s="106"/>
      <c r="K71" s="31"/>
      <c r="L71" s="31"/>
      <c r="M71" s="31"/>
      <c r="N71" s="31"/>
    </row>
    <row r="72" spans="1:14" s="27" customFormat="1" ht="73.5" hidden="1" customHeight="1" x14ac:dyDescent="0.2">
      <c r="A72" s="128" t="s">
        <v>227</v>
      </c>
      <c r="B72" s="130">
        <v>8</v>
      </c>
      <c r="C72" s="247">
        <v>9000000</v>
      </c>
      <c r="D72" s="35">
        <v>9000000</v>
      </c>
      <c r="E72" s="28">
        <f t="shared" si="2"/>
        <v>0</v>
      </c>
      <c r="F72" s="29">
        <f t="shared" si="3"/>
        <v>0</v>
      </c>
      <c r="G72" s="381" t="s">
        <v>423</v>
      </c>
      <c r="H72" s="30"/>
      <c r="I72" s="106"/>
      <c r="K72" s="31"/>
      <c r="L72" s="31"/>
      <c r="M72" s="31"/>
      <c r="N72" s="31"/>
    </row>
    <row r="73" spans="1:14" s="27" customFormat="1" ht="35.25" hidden="1" customHeight="1" x14ac:dyDescent="0.2">
      <c r="A73" s="128" t="s">
        <v>228</v>
      </c>
      <c r="B73" s="130">
        <v>5</v>
      </c>
      <c r="C73" s="247">
        <v>7000000</v>
      </c>
      <c r="D73" s="35">
        <f>5000000+2000000</f>
        <v>7000000</v>
      </c>
      <c r="E73" s="28">
        <f t="shared" si="2"/>
        <v>0</v>
      </c>
      <c r="F73" s="29">
        <f t="shared" si="3"/>
        <v>0</v>
      </c>
      <c r="G73" s="381" t="s">
        <v>427</v>
      </c>
      <c r="H73" s="30"/>
      <c r="I73" s="106"/>
      <c r="K73" s="31"/>
      <c r="L73" s="31"/>
      <c r="M73" s="31"/>
      <c r="N73" s="31"/>
    </row>
    <row r="74" spans="1:14" s="27" customFormat="1" ht="35.25" hidden="1" customHeight="1" x14ac:dyDescent="0.2">
      <c r="A74" s="128" t="s">
        <v>229</v>
      </c>
      <c r="B74" s="130">
        <v>6</v>
      </c>
      <c r="C74" s="247">
        <v>2000000</v>
      </c>
      <c r="D74" s="35">
        <v>2000000</v>
      </c>
      <c r="E74" s="28">
        <f>C74-D74</f>
        <v>0</v>
      </c>
      <c r="F74" s="29">
        <f>E74/C74</f>
        <v>0</v>
      </c>
      <c r="G74" s="381" t="s">
        <v>423</v>
      </c>
      <c r="H74" s="30"/>
      <c r="I74" s="106"/>
      <c r="K74" s="31"/>
      <c r="L74" s="31"/>
      <c r="M74" s="31"/>
      <c r="N74" s="31"/>
    </row>
    <row r="75" spans="1:14" s="27" customFormat="1" ht="45" hidden="1" customHeight="1" x14ac:dyDescent="0.2">
      <c r="A75" s="128" t="s">
        <v>230</v>
      </c>
      <c r="B75" s="130">
        <v>9</v>
      </c>
      <c r="C75" s="247">
        <v>7000000</v>
      </c>
      <c r="D75" s="35">
        <v>7000000</v>
      </c>
      <c r="E75" s="28">
        <f t="shared" si="2"/>
        <v>0</v>
      </c>
      <c r="F75" s="29">
        <f t="shared" si="3"/>
        <v>0</v>
      </c>
      <c r="G75" s="381" t="s">
        <v>423</v>
      </c>
      <c r="H75" s="30"/>
      <c r="I75" s="106"/>
    </row>
    <row r="76" spans="1:14" s="27" customFormat="1" ht="146.25" customHeight="1" x14ac:dyDescent="0.2">
      <c r="A76" s="401" t="s">
        <v>71</v>
      </c>
      <c r="B76" s="34">
        <v>5</v>
      </c>
      <c r="C76" s="197">
        <f>207661884+27373928</f>
        <v>235035812</v>
      </c>
      <c r="D76" s="35">
        <f>22025490+22025490+16945760+14078016+33761674+32475515+27373928+27373928+27373928</f>
        <v>223433729</v>
      </c>
      <c r="E76" s="28">
        <f t="shared" si="2"/>
        <v>11602083</v>
      </c>
      <c r="F76" s="29">
        <f t="shared" si="3"/>
        <v>4.9363043449736077E-2</v>
      </c>
      <c r="G76" s="381" t="s">
        <v>460</v>
      </c>
      <c r="H76" s="30"/>
      <c r="I76" s="106"/>
    </row>
    <row r="77" spans="1:14" ht="12.75" hidden="1" x14ac:dyDescent="0.2">
      <c r="A77" s="2" t="s">
        <v>1</v>
      </c>
      <c r="B77" s="960" t="s">
        <v>45</v>
      </c>
      <c r="C77" s="961"/>
      <c r="D77" s="961"/>
      <c r="E77" s="961"/>
      <c r="F77" s="961"/>
      <c r="G77" s="961"/>
      <c r="H77" s="961"/>
      <c r="I77" s="962"/>
      <c r="K77" s="1"/>
      <c r="L77" s="1"/>
      <c r="M77" s="1"/>
      <c r="N77" s="1"/>
    </row>
    <row r="78" spans="1:14" ht="12.75" hidden="1" x14ac:dyDescent="0.2">
      <c r="A78" s="2" t="s">
        <v>3</v>
      </c>
      <c r="B78" s="960" t="s">
        <v>46</v>
      </c>
      <c r="C78" s="961"/>
      <c r="D78" s="961"/>
      <c r="E78" s="961"/>
      <c r="F78" s="961"/>
      <c r="G78" s="961"/>
      <c r="H78" s="961"/>
      <c r="I78" s="962"/>
      <c r="K78" s="1"/>
      <c r="L78" s="1"/>
      <c r="M78" s="1"/>
      <c r="N78" s="1"/>
    </row>
    <row r="79" spans="1:14" ht="12.75" hidden="1" x14ac:dyDescent="0.2">
      <c r="A79" s="2" t="s">
        <v>5</v>
      </c>
      <c r="B79" s="960" t="s">
        <v>50</v>
      </c>
      <c r="C79" s="961"/>
      <c r="D79" s="961"/>
      <c r="E79" s="961"/>
      <c r="F79" s="961"/>
      <c r="G79" s="961"/>
      <c r="H79" s="961"/>
      <c r="I79" s="962"/>
      <c r="K79" s="1"/>
      <c r="L79" s="1"/>
      <c r="M79" s="1"/>
      <c r="N79" s="1"/>
    </row>
    <row r="80" spans="1:14" ht="12.75" hidden="1" x14ac:dyDescent="0.2">
      <c r="A80" s="2" t="s">
        <v>6</v>
      </c>
      <c r="B80" s="960" t="s">
        <v>48</v>
      </c>
      <c r="C80" s="961"/>
      <c r="D80" s="961"/>
      <c r="E80" s="961"/>
      <c r="F80" s="961"/>
      <c r="G80" s="961"/>
      <c r="H80" s="961"/>
      <c r="I80" s="962"/>
      <c r="K80" s="1"/>
      <c r="L80" s="1"/>
      <c r="M80" s="1"/>
      <c r="N80" s="1"/>
    </row>
    <row r="81" spans="1:14" ht="12.75" hidden="1" x14ac:dyDescent="0.2">
      <c r="A81" s="2" t="s">
        <v>8</v>
      </c>
      <c r="B81" s="960" t="s">
        <v>51</v>
      </c>
      <c r="C81" s="961"/>
      <c r="D81" s="961"/>
      <c r="E81" s="961"/>
      <c r="F81" s="961"/>
      <c r="G81" s="961"/>
      <c r="H81" s="961"/>
      <c r="I81" s="962"/>
      <c r="K81" s="1"/>
      <c r="L81" s="1"/>
      <c r="M81" s="1"/>
      <c r="N81" s="1"/>
    </row>
    <row r="82" spans="1:14" ht="54.75" hidden="1" customHeight="1" x14ac:dyDescent="0.2">
      <c r="A82" s="296" t="s">
        <v>10</v>
      </c>
      <c r="B82" s="3" t="s">
        <v>11</v>
      </c>
      <c r="C82" s="193" t="s">
        <v>12</v>
      </c>
      <c r="D82" s="4" t="s">
        <v>13</v>
      </c>
      <c r="E82" s="5" t="s">
        <v>14</v>
      </c>
      <c r="F82" s="3" t="s">
        <v>15</v>
      </c>
      <c r="G82" s="377" t="s">
        <v>16</v>
      </c>
      <c r="H82" s="3" t="s">
        <v>17</v>
      </c>
      <c r="I82" s="103" t="s">
        <v>18</v>
      </c>
      <c r="K82" s="1"/>
      <c r="L82" s="1"/>
      <c r="M82" s="1"/>
      <c r="N82" s="1"/>
    </row>
    <row r="83" spans="1:14" s="27" customFormat="1" hidden="1" x14ac:dyDescent="0.2">
      <c r="A83" s="128" t="s">
        <v>232</v>
      </c>
      <c r="B83" s="130">
        <v>1</v>
      </c>
      <c r="C83" s="212">
        <v>19950000</v>
      </c>
      <c r="D83" s="212">
        <v>19950000</v>
      </c>
      <c r="E83" s="28">
        <f t="shared" ref="E83:E93" si="4">C83-D83</f>
        <v>0</v>
      </c>
      <c r="F83" s="29">
        <f t="shared" ref="F83:F93" si="5">E83/C83</f>
        <v>0</v>
      </c>
      <c r="G83" s="383"/>
      <c r="H83" s="38"/>
      <c r="I83" s="106"/>
    </row>
    <row r="84" spans="1:14" s="27" customFormat="1" hidden="1" x14ac:dyDescent="0.2">
      <c r="A84" s="128" t="s">
        <v>233</v>
      </c>
      <c r="B84" s="130">
        <v>1</v>
      </c>
      <c r="C84" s="212">
        <v>9521600</v>
      </c>
      <c r="D84" s="212">
        <v>9521600</v>
      </c>
      <c r="E84" s="28">
        <f t="shared" si="4"/>
        <v>0</v>
      </c>
      <c r="F84" s="29">
        <f t="shared" si="5"/>
        <v>0</v>
      </c>
      <c r="G84" s="383"/>
      <c r="H84" s="38"/>
      <c r="I84" s="106"/>
    </row>
    <row r="85" spans="1:14" s="27" customFormat="1" hidden="1" x14ac:dyDescent="0.2">
      <c r="A85" s="128" t="s">
        <v>234</v>
      </c>
      <c r="B85" s="130">
        <v>1</v>
      </c>
      <c r="C85" s="212">
        <v>13487400</v>
      </c>
      <c r="D85" s="212">
        <v>13487400</v>
      </c>
      <c r="E85" s="28">
        <f t="shared" si="4"/>
        <v>0</v>
      </c>
      <c r="F85" s="29">
        <f t="shared" si="5"/>
        <v>0</v>
      </c>
      <c r="G85" s="383"/>
      <c r="H85" s="38"/>
      <c r="I85" s="106"/>
    </row>
    <row r="86" spans="1:14" s="27" customFormat="1" ht="22.5" hidden="1" x14ac:dyDescent="0.2">
      <c r="A86" s="128" t="s">
        <v>235</v>
      </c>
      <c r="B86" s="130">
        <v>1</v>
      </c>
      <c r="C86" s="212">
        <v>12831700</v>
      </c>
      <c r="D86" s="212">
        <v>12831700</v>
      </c>
      <c r="E86" s="28">
        <f t="shared" si="4"/>
        <v>0</v>
      </c>
      <c r="F86" s="29">
        <f t="shared" si="5"/>
        <v>0</v>
      </c>
      <c r="G86" s="383"/>
      <c r="H86" s="38"/>
      <c r="I86" s="106"/>
    </row>
    <row r="87" spans="1:14" s="27" customFormat="1" hidden="1" x14ac:dyDescent="0.2">
      <c r="A87" s="128" t="s">
        <v>236</v>
      </c>
      <c r="B87" s="130">
        <v>1</v>
      </c>
      <c r="C87" s="212">
        <v>9521600</v>
      </c>
      <c r="D87" s="212">
        <v>9521600</v>
      </c>
      <c r="E87" s="28">
        <f t="shared" si="4"/>
        <v>0</v>
      </c>
      <c r="F87" s="29">
        <f t="shared" si="5"/>
        <v>0</v>
      </c>
      <c r="G87" s="383"/>
      <c r="H87" s="38"/>
      <c r="I87" s="106"/>
    </row>
    <row r="88" spans="1:14" s="27" customFormat="1" hidden="1" x14ac:dyDescent="0.2">
      <c r="A88" s="128" t="s">
        <v>237</v>
      </c>
      <c r="B88" s="130">
        <v>1</v>
      </c>
      <c r="C88" s="212">
        <v>12831700</v>
      </c>
      <c r="D88" s="212">
        <v>12831700</v>
      </c>
      <c r="E88" s="28">
        <f t="shared" si="4"/>
        <v>0</v>
      </c>
      <c r="F88" s="29">
        <f t="shared" si="5"/>
        <v>0</v>
      </c>
      <c r="G88" s="383"/>
      <c r="H88" s="38"/>
      <c r="I88" s="106"/>
    </row>
    <row r="89" spans="1:14" s="27" customFormat="1" hidden="1" x14ac:dyDescent="0.2">
      <c r="A89" s="128" t="s">
        <v>238</v>
      </c>
      <c r="B89" s="130">
        <v>1</v>
      </c>
      <c r="C89" s="212">
        <v>9871600</v>
      </c>
      <c r="D89" s="212">
        <v>9871600</v>
      </c>
      <c r="E89" s="28">
        <f t="shared" si="4"/>
        <v>0</v>
      </c>
      <c r="F89" s="29">
        <f t="shared" si="5"/>
        <v>0</v>
      </c>
      <c r="G89" s="383"/>
      <c r="H89" s="38"/>
      <c r="I89" s="106"/>
    </row>
    <row r="90" spans="1:14" s="27" customFormat="1" ht="29.25" hidden="1" customHeight="1" x14ac:dyDescent="0.2">
      <c r="A90" s="128" t="s">
        <v>239</v>
      </c>
      <c r="B90" s="130">
        <v>1</v>
      </c>
      <c r="C90" s="212">
        <v>9871600</v>
      </c>
      <c r="D90" s="212">
        <v>9871600</v>
      </c>
      <c r="E90" s="28">
        <f t="shared" si="4"/>
        <v>0</v>
      </c>
      <c r="F90" s="29">
        <f t="shared" si="5"/>
        <v>0</v>
      </c>
      <c r="G90" s="383"/>
      <c r="H90" s="38"/>
      <c r="I90" s="106"/>
    </row>
    <row r="91" spans="1:14" s="27" customFormat="1" ht="21.75" hidden="1" customHeight="1" x14ac:dyDescent="0.2">
      <c r="A91" s="128" t="s">
        <v>240</v>
      </c>
      <c r="B91" s="130" t="s">
        <v>241</v>
      </c>
      <c r="C91" s="203">
        <v>18684488</v>
      </c>
      <c r="D91" s="23">
        <v>18684488</v>
      </c>
      <c r="E91" s="28">
        <f t="shared" si="4"/>
        <v>0</v>
      </c>
      <c r="F91" s="29">
        <f t="shared" si="5"/>
        <v>0</v>
      </c>
      <c r="G91" s="384" t="s">
        <v>414</v>
      </c>
      <c r="H91" s="38"/>
      <c r="I91" s="109"/>
    </row>
    <row r="92" spans="1:14" s="27" customFormat="1" ht="14.25" hidden="1" x14ac:dyDescent="0.2">
      <c r="A92" s="128" t="s">
        <v>358</v>
      </c>
      <c r="B92" s="130" t="s">
        <v>241</v>
      </c>
      <c r="C92" s="237">
        <v>3720000</v>
      </c>
      <c r="D92" s="23">
        <v>3720000</v>
      </c>
      <c r="E92" s="28">
        <f>C92-D92</f>
        <v>0</v>
      </c>
      <c r="F92" s="29">
        <f>E92/C92</f>
        <v>0</v>
      </c>
      <c r="G92" s="384" t="s">
        <v>414</v>
      </c>
      <c r="H92" s="38"/>
      <c r="I92" s="109"/>
    </row>
    <row r="93" spans="1:14" s="27" customFormat="1" ht="329.25" customHeight="1" x14ac:dyDescent="0.2">
      <c r="A93" s="402" t="s">
        <v>242</v>
      </c>
      <c r="B93" s="286">
        <v>10</v>
      </c>
      <c r="C93" s="197">
        <f>488274571+36173220</f>
        <v>524447791</v>
      </c>
      <c r="D93" s="23">
        <f>22025490+11467690+22025490+16945760+27656190+16945760+17858224+17858224+20739330+36173220+33761674+27373928+27373928+27373928+33761670+27373928+33761674+42392750</f>
        <v>462868858</v>
      </c>
      <c r="E93" s="28">
        <f t="shared" si="4"/>
        <v>61578933</v>
      </c>
      <c r="F93" s="29">
        <f t="shared" si="5"/>
        <v>0.11741670773859737</v>
      </c>
      <c r="G93" s="384" t="s">
        <v>449</v>
      </c>
      <c r="H93" s="30"/>
      <c r="I93" s="106"/>
    </row>
    <row r="94" spans="1:14" ht="12.75" hidden="1" x14ac:dyDescent="0.2">
      <c r="A94" s="2" t="s">
        <v>1</v>
      </c>
      <c r="B94" s="960" t="s">
        <v>45</v>
      </c>
      <c r="C94" s="961"/>
      <c r="D94" s="961"/>
      <c r="E94" s="961"/>
      <c r="F94" s="961"/>
      <c r="G94" s="961"/>
      <c r="H94" s="961"/>
      <c r="I94" s="962"/>
    </row>
    <row r="95" spans="1:14" ht="12.75" hidden="1" customHeight="1" x14ac:dyDescent="0.2">
      <c r="A95" s="2" t="s">
        <v>3</v>
      </c>
      <c r="B95" s="960" t="s">
        <v>46</v>
      </c>
      <c r="C95" s="961"/>
      <c r="D95" s="961"/>
      <c r="E95" s="961"/>
      <c r="F95" s="961"/>
      <c r="G95" s="961"/>
      <c r="H95" s="961"/>
      <c r="I95" s="962"/>
    </row>
    <row r="96" spans="1:14" ht="12.75" hidden="1" x14ac:dyDescent="0.2">
      <c r="A96" s="2" t="s">
        <v>5</v>
      </c>
      <c r="B96" s="960" t="s">
        <v>52</v>
      </c>
      <c r="C96" s="961"/>
      <c r="D96" s="961"/>
      <c r="E96" s="961"/>
      <c r="F96" s="961"/>
      <c r="G96" s="961"/>
      <c r="H96" s="961"/>
      <c r="I96" s="962"/>
    </row>
    <row r="97" spans="1:14" ht="12.75" hidden="1" x14ac:dyDescent="0.2">
      <c r="A97" s="2" t="s">
        <v>6</v>
      </c>
      <c r="B97" s="960" t="s">
        <v>48</v>
      </c>
      <c r="C97" s="961"/>
      <c r="D97" s="961"/>
      <c r="E97" s="961"/>
      <c r="F97" s="961"/>
      <c r="G97" s="961"/>
      <c r="H97" s="961"/>
      <c r="I97" s="962"/>
    </row>
    <row r="98" spans="1:14" ht="12.75" hidden="1" x14ac:dyDescent="0.2">
      <c r="A98" s="2" t="s">
        <v>8</v>
      </c>
      <c r="B98" s="960" t="s">
        <v>44</v>
      </c>
      <c r="C98" s="961"/>
      <c r="D98" s="961"/>
      <c r="E98" s="961"/>
      <c r="F98" s="961"/>
      <c r="G98" s="961"/>
      <c r="H98" s="961"/>
      <c r="I98" s="962"/>
    </row>
    <row r="99" spans="1:14" ht="38.25" hidden="1" x14ac:dyDescent="0.2">
      <c r="A99" s="296" t="s">
        <v>10</v>
      </c>
      <c r="B99" s="3" t="s">
        <v>11</v>
      </c>
      <c r="C99" s="193" t="s">
        <v>12</v>
      </c>
      <c r="D99" s="4" t="s">
        <v>13</v>
      </c>
      <c r="E99" s="5" t="s">
        <v>14</v>
      </c>
      <c r="F99" s="3" t="s">
        <v>15</v>
      </c>
      <c r="G99" s="377" t="s">
        <v>16</v>
      </c>
      <c r="H99" s="3" t="s">
        <v>17</v>
      </c>
      <c r="I99" s="103" t="s">
        <v>18</v>
      </c>
    </row>
    <row r="100" spans="1:14" s="27" customFormat="1" ht="14.25" hidden="1" x14ac:dyDescent="0.2">
      <c r="A100" s="128" t="s">
        <v>243</v>
      </c>
      <c r="B100" s="286">
        <v>8</v>
      </c>
      <c r="C100" s="287">
        <f>17950000+24165716</f>
        <v>42115716</v>
      </c>
      <c r="D100" s="131">
        <v>42115716</v>
      </c>
      <c r="E100" s="28">
        <f>C100-D100</f>
        <v>0</v>
      </c>
      <c r="F100" s="29">
        <f>E100/C100</f>
        <v>0</v>
      </c>
      <c r="G100" s="381" t="s">
        <v>414</v>
      </c>
      <c r="H100" s="30"/>
      <c r="I100" s="106"/>
      <c r="K100" s="31"/>
      <c r="L100" s="31"/>
      <c r="M100" s="31"/>
      <c r="N100" s="31"/>
    </row>
    <row r="101" spans="1:14" ht="12.75" hidden="1" x14ac:dyDescent="0.2">
      <c r="A101" s="2" t="s">
        <v>1</v>
      </c>
      <c r="B101" s="978" t="s">
        <v>45</v>
      </c>
      <c r="C101" s="979"/>
      <c r="D101" s="979"/>
      <c r="E101" s="979"/>
      <c r="F101" s="979"/>
      <c r="G101" s="979"/>
      <c r="H101" s="979"/>
      <c r="I101" s="980"/>
    </row>
    <row r="102" spans="1:14" ht="12.75" hidden="1" x14ac:dyDescent="0.2">
      <c r="A102" s="2" t="s">
        <v>3</v>
      </c>
      <c r="B102" s="960" t="s">
        <v>53</v>
      </c>
      <c r="C102" s="961"/>
      <c r="D102" s="961"/>
      <c r="E102" s="961"/>
      <c r="F102" s="961"/>
      <c r="G102" s="961"/>
      <c r="H102" s="961"/>
      <c r="I102" s="962"/>
      <c r="K102" s="1"/>
      <c r="L102" s="1"/>
      <c r="M102" s="1"/>
      <c r="N102" s="1"/>
    </row>
    <row r="103" spans="1:14" ht="12.75" hidden="1" x14ac:dyDescent="0.2">
      <c r="A103" s="2" t="s">
        <v>5</v>
      </c>
      <c r="B103" s="960" t="s">
        <v>54</v>
      </c>
      <c r="C103" s="961"/>
      <c r="D103" s="961"/>
      <c r="E103" s="961"/>
      <c r="F103" s="961"/>
      <c r="G103" s="961"/>
      <c r="H103" s="961"/>
      <c r="I103" s="962"/>
      <c r="K103" s="1"/>
      <c r="L103" s="1"/>
      <c r="M103" s="1"/>
      <c r="N103" s="1"/>
    </row>
    <row r="104" spans="1:14" ht="12.75" hidden="1" x14ac:dyDescent="0.2">
      <c r="A104" s="2" t="s">
        <v>6</v>
      </c>
      <c r="B104" s="960" t="s">
        <v>48</v>
      </c>
      <c r="C104" s="961"/>
      <c r="D104" s="961"/>
      <c r="E104" s="961"/>
      <c r="F104" s="961"/>
      <c r="G104" s="961"/>
      <c r="H104" s="961"/>
      <c r="I104" s="962"/>
      <c r="K104" s="1"/>
      <c r="L104" s="1"/>
      <c r="M104" s="1"/>
      <c r="N104" s="1"/>
    </row>
    <row r="105" spans="1:14" ht="12.75" hidden="1" x14ac:dyDescent="0.2">
      <c r="A105" s="2" t="s">
        <v>8</v>
      </c>
      <c r="B105" s="960" t="s">
        <v>44</v>
      </c>
      <c r="C105" s="961"/>
      <c r="D105" s="961"/>
      <c r="E105" s="961"/>
      <c r="F105" s="961"/>
      <c r="G105" s="961"/>
      <c r="H105" s="961"/>
      <c r="I105" s="962"/>
      <c r="K105" s="1"/>
      <c r="L105" s="1"/>
      <c r="M105" s="1"/>
      <c r="N105" s="1"/>
    </row>
    <row r="106" spans="1:14" ht="38.25" hidden="1" x14ac:dyDescent="0.2">
      <c r="A106" s="296" t="s">
        <v>10</v>
      </c>
      <c r="B106" s="3" t="s">
        <v>11</v>
      </c>
      <c r="C106" s="193" t="s">
        <v>12</v>
      </c>
      <c r="D106" s="4" t="s">
        <v>13</v>
      </c>
      <c r="E106" s="5" t="s">
        <v>14</v>
      </c>
      <c r="F106" s="3" t="s">
        <v>15</v>
      </c>
      <c r="G106" s="377" t="s">
        <v>16</v>
      </c>
      <c r="H106" s="3" t="s">
        <v>17</v>
      </c>
      <c r="I106" s="103" t="s">
        <v>18</v>
      </c>
      <c r="K106" s="1"/>
      <c r="L106" s="1"/>
      <c r="M106" s="1"/>
      <c r="N106" s="1"/>
    </row>
    <row r="107" spans="1:14" s="27" customFormat="1" ht="55.5" hidden="1" customHeight="1" x14ac:dyDescent="0.2">
      <c r="A107" s="127" t="s">
        <v>244</v>
      </c>
      <c r="B107" s="286">
        <v>6</v>
      </c>
      <c r="C107" s="202">
        <v>2000000</v>
      </c>
      <c r="D107" s="35">
        <f>1350000+380000+270000</f>
        <v>2000000</v>
      </c>
      <c r="E107" s="28">
        <f>C107-D107</f>
        <v>0</v>
      </c>
      <c r="F107" s="29">
        <f>E107/C107</f>
        <v>0</v>
      </c>
      <c r="G107" s="381" t="s">
        <v>437</v>
      </c>
      <c r="H107" s="30"/>
      <c r="I107" s="106"/>
    </row>
    <row r="108" spans="1:14" s="27" customFormat="1" ht="96.75" hidden="1" customHeight="1" x14ac:dyDescent="0.2">
      <c r="A108" s="127" t="s">
        <v>322</v>
      </c>
      <c r="B108" s="286">
        <v>6</v>
      </c>
      <c r="C108" s="197">
        <v>1000000</v>
      </c>
      <c r="D108" s="35">
        <f>760000+240000</f>
        <v>1000000</v>
      </c>
      <c r="E108" s="28">
        <f>C108-D108</f>
        <v>0</v>
      </c>
      <c r="F108" s="29">
        <f>E108/C108</f>
        <v>0</v>
      </c>
      <c r="G108" s="381" t="s">
        <v>427</v>
      </c>
      <c r="H108" s="30"/>
      <c r="I108" s="106"/>
    </row>
    <row r="109" spans="1:14" s="27" customFormat="1" ht="69.75" hidden="1" customHeight="1" x14ac:dyDescent="0.2">
      <c r="A109" s="127" t="s">
        <v>245</v>
      </c>
      <c r="B109" s="286">
        <v>6</v>
      </c>
      <c r="C109" s="197">
        <v>3000000</v>
      </c>
      <c r="D109" s="35">
        <f>1560000+1440000</f>
        <v>3000000</v>
      </c>
      <c r="E109" s="28">
        <f>C109-D109</f>
        <v>0</v>
      </c>
      <c r="F109" s="29">
        <f>E109/C109</f>
        <v>0</v>
      </c>
      <c r="G109" s="381" t="s">
        <v>427</v>
      </c>
      <c r="H109" s="30"/>
      <c r="I109" s="106"/>
    </row>
    <row r="110" spans="1:14" ht="12.75" hidden="1" x14ac:dyDescent="0.2">
      <c r="A110" s="2" t="s">
        <v>1</v>
      </c>
      <c r="B110" s="960" t="s">
        <v>45</v>
      </c>
      <c r="C110" s="961"/>
      <c r="D110" s="961"/>
      <c r="E110" s="961"/>
      <c r="F110" s="961"/>
      <c r="G110" s="961"/>
      <c r="H110" s="961"/>
      <c r="I110" s="962"/>
      <c r="K110" s="1"/>
      <c r="L110" s="1"/>
      <c r="M110" s="1"/>
      <c r="N110" s="1"/>
    </row>
    <row r="111" spans="1:14" ht="12.75" hidden="1" x14ac:dyDescent="0.2">
      <c r="A111" s="2" t="s">
        <v>3</v>
      </c>
      <c r="B111" s="960" t="s">
        <v>53</v>
      </c>
      <c r="C111" s="961"/>
      <c r="D111" s="961"/>
      <c r="E111" s="961"/>
      <c r="F111" s="961"/>
      <c r="G111" s="961"/>
      <c r="H111" s="961"/>
      <c r="I111" s="962"/>
      <c r="K111" s="1"/>
      <c r="L111" s="1"/>
      <c r="M111" s="1"/>
      <c r="N111" s="1"/>
    </row>
    <row r="112" spans="1:14" ht="12.75" hidden="1" x14ac:dyDescent="0.2">
      <c r="A112" s="2" t="s">
        <v>5</v>
      </c>
      <c r="B112" s="960" t="s">
        <v>55</v>
      </c>
      <c r="C112" s="961"/>
      <c r="D112" s="961"/>
      <c r="E112" s="961"/>
      <c r="F112" s="961"/>
      <c r="G112" s="961"/>
      <c r="H112" s="961"/>
      <c r="I112" s="962"/>
      <c r="K112" s="1"/>
      <c r="L112" s="1"/>
      <c r="M112" s="1"/>
      <c r="N112" s="1"/>
    </row>
    <row r="113" spans="1:14" ht="12.75" hidden="1" customHeight="1" x14ac:dyDescent="0.2">
      <c r="A113" s="2" t="s">
        <v>6</v>
      </c>
      <c r="B113" s="960" t="s">
        <v>48</v>
      </c>
      <c r="C113" s="961"/>
      <c r="D113" s="961"/>
      <c r="E113" s="961"/>
      <c r="F113" s="961"/>
      <c r="G113" s="961"/>
      <c r="H113" s="961"/>
      <c r="I113" s="962"/>
      <c r="K113" s="1"/>
      <c r="L113" s="1"/>
      <c r="M113" s="1"/>
      <c r="N113" s="1"/>
    </row>
    <row r="114" spans="1:14" ht="12.75" hidden="1" x14ac:dyDescent="0.2">
      <c r="A114" s="2" t="s">
        <v>8</v>
      </c>
      <c r="B114" s="960" t="s">
        <v>44</v>
      </c>
      <c r="C114" s="961"/>
      <c r="D114" s="961"/>
      <c r="E114" s="961"/>
      <c r="F114" s="961"/>
      <c r="G114" s="961"/>
      <c r="H114" s="961"/>
      <c r="I114" s="962"/>
      <c r="K114" s="1"/>
      <c r="L114" s="1"/>
      <c r="M114" s="1"/>
      <c r="N114" s="1"/>
    </row>
    <row r="115" spans="1:14" ht="38.25" hidden="1" x14ac:dyDescent="0.2">
      <c r="A115" s="296" t="s">
        <v>10</v>
      </c>
      <c r="B115" s="3" t="s">
        <v>11</v>
      </c>
      <c r="C115" s="193" t="s">
        <v>12</v>
      </c>
      <c r="D115" s="4" t="s">
        <v>13</v>
      </c>
      <c r="E115" s="5" t="s">
        <v>14</v>
      </c>
      <c r="F115" s="3" t="s">
        <v>15</v>
      </c>
      <c r="G115" s="377" t="s">
        <v>16</v>
      </c>
      <c r="H115" s="3" t="s">
        <v>17</v>
      </c>
      <c r="I115" s="103" t="s">
        <v>18</v>
      </c>
      <c r="K115" s="1"/>
      <c r="L115" s="1"/>
      <c r="M115" s="1"/>
      <c r="N115" s="1"/>
    </row>
    <row r="116" spans="1:14" s="27" customFormat="1" ht="45" hidden="1" x14ac:dyDescent="0.2">
      <c r="A116" s="127" t="s">
        <v>246</v>
      </c>
      <c r="B116" s="130">
        <v>20</v>
      </c>
      <c r="C116" s="202">
        <v>10000000</v>
      </c>
      <c r="D116" s="23">
        <f>5400000+1600000+3000000</f>
        <v>10000000</v>
      </c>
      <c r="E116" s="28">
        <f>C116-D116</f>
        <v>0</v>
      </c>
      <c r="F116" s="29">
        <f>E116/C116</f>
        <v>0</v>
      </c>
      <c r="G116" s="381" t="s">
        <v>436</v>
      </c>
      <c r="H116" s="30"/>
      <c r="I116" s="106"/>
    </row>
    <row r="117" spans="1:14" s="27" customFormat="1" ht="57" hidden="1" customHeight="1" x14ac:dyDescent="0.2">
      <c r="A117" s="127" t="s">
        <v>247</v>
      </c>
      <c r="B117" s="130">
        <v>2</v>
      </c>
      <c r="C117" s="202">
        <v>10000000</v>
      </c>
      <c r="D117" s="23">
        <v>8000000</v>
      </c>
      <c r="E117" s="28">
        <f>C117-D117</f>
        <v>2000000</v>
      </c>
      <c r="F117" s="29">
        <f>E117/C117</f>
        <v>0.2</v>
      </c>
      <c r="G117" s="381" t="s">
        <v>414</v>
      </c>
      <c r="H117" s="30"/>
      <c r="I117" s="106"/>
    </row>
    <row r="118" spans="1:14" s="27" customFormat="1" ht="38.25" hidden="1" customHeight="1" x14ac:dyDescent="0.2">
      <c r="A118" s="127" t="s">
        <v>248</v>
      </c>
      <c r="B118" s="130">
        <v>2</v>
      </c>
      <c r="C118" s="202">
        <v>10000000</v>
      </c>
      <c r="D118" s="23">
        <v>8000000</v>
      </c>
      <c r="E118" s="28">
        <f>C118-D118</f>
        <v>2000000</v>
      </c>
      <c r="F118" s="29">
        <f>E118/C118</f>
        <v>0.2</v>
      </c>
      <c r="G118" s="381" t="s">
        <v>414</v>
      </c>
      <c r="H118" s="30"/>
      <c r="I118" s="106"/>
    </row>
    <row r="119" spans="1:14" s="27" customFormat="1" ht="109.5" hidden="1" customHeight="1" x14ac:dyDescent="0.2">
      <c r="A119" s="132" t="s">
        <v>249</v>
      </c>
      <c r="B119" s="130">
        <v>1</v>
      </c>
      <c r="C119" s="204">
        <v>10000000</v>
      </c>
      <c r="D119" s="23">
        <f>5784000+4216000</f>
        <v>10000000</v>
      </c>
      <c r="E119" s="28">
        <f>C119-D119</f>
        <v>0</v>
      </c>
      <c r="F119" s="29">
        <f>E119/C119</f>
        <v>0</v>
      </c>
      <c r="G119" s="381" t="s">
        <v>427</v>
      </c>
      <c r="H119" s="30"/>
      <c r="I119" s="106"/>
    </row>
    <row r="120" spans="1:14" ht="12.75" hidden="1" x14ac:dyDescent="0.2">
      <c r="A120" s="2" t="s">
        <v>1</v>
      </c>
      <c r="B120" s="978" t="s">
        <v>45</v>
      </c>
      <c r="C120" s="979"/>
      <c r="D120" s="979"/>
      <c r="E120" s="979"/>
      <c r="F120" s="979"/>
      <c r="G120" s="979"/>
      <c r="H120" s="979"/>
      <c r="I120" s="980"/>
      <c r="K120" s="1"/>
      <c r="L120" s="1"/>
      <c r="M120" s="1"/>
      <c r="N120" s="1"/>
    </row>
    <row r="121" spans="1:14" ht="12.75" hidden="1" customHeight="1" x14ac:dyDescent="0.2">
      <c r="A121" s="2" t="s">
        <v>3</v>
      </c>
      <c r="B121" s="960" t="s">
        <v>56</v>
      </c>
      <c r="C121" s="961"/>
      <c r="D121" s="961"/>
      <c r="E121" s="961"/>
      <c r="F121" s="961"/>
      <c r="G121" s="961"/>
      <c r="H121" s="961"/>
      <c r="I121" s="962"/>
      <c r="K121" s="1"/>
      <c r="L121" s="1"/>
      <c r="M121" s="1"/>
      <c r="N121" s="1"/>
    </row>
    <row r="122" spans="1:14" ht="12.75" hidden="1" x14ac:dyDescent="0.2">
      <c r="A122" s="2" t="s">
        <v>5</v>
      </c>
      <c r="B122" s="960" t="s">
        <v>57</v>
      </c>
      <c r="C122" s="961"/>
      <c r="D122" s="961"/>
      <c r="E122" s="961"/>
      <c r="F122" s="961"/>
      <c r="G122" s="961"/>
      <c r="H122" s="961"/>
      <c r="I122" s="962"/>
      <c r="K122" s="1"/>
      <c r="L122" s="1"/>
      <c r="M122" s="1"/>
      <c r="N122" s="1"/>
    </row>
    <row r="123" spans="1:14" ht="12.75" hidden="1" x14ac:dyDescent="0.2">
      <c r="A123" s="2" t="s">
        <v>6</v>
      </c>
      <c r="B123" s="960" t="s">
        <v>48</v>
      </c>
      <c r="C123" s="961"/>
      <c r="D123" s="961"/>
      <c r="E123" s="961"/>
      <c r="F123" s="961"/>
      <c r="G123" s="961"/>
      <c r="H123" s="961"/>
      <c r="I123" s="962"/>
      <c r="K123" s="1"/>
      <c r="L123" s="1"/>
      <c r="M123" s="1"/>
      <c r="N123" s="1"/>
    </row>
    <row r="124" spans="1:14" ht="12.75" hidden="1" x14ac:dyDescent="0.2">
      <c r="A124" s="2" t="s">
        <v>8</v>
      </c>
      <c r="B124" s="960" t="s">
        <v>44</v>
      </c>
      <c r="C124" s="961"/>
      <c r="D124" s="961"/>
      <c r="E124" s="961"/>
      <c r="F124" s="961"/>
      <c r="G124" s="961"/>
      <c r="H124" s="961"/>
      <c r="I124" s="962"/>
      <c r="K124" s="1"/>
      <c r="L124" s="1"/>
      <c r="M124" s="1"/>
      <c r="N124" s="1"/>
    </row>
    <row r="125" spans="1:14" ht="38.25" hidden="1" x14ac:dyDescent="0.2">
      <c r="A125" s="296" t="s">
        <v>10</v>
      </c>
      <c r="B125" s="3" t="s">
        <v>11</v>
      </c>
      <c r="C125" s="193" t="s">
        <v>12</v>
      </c>
      <c r="D125" s="4" t="s">
        <v>13</v>
      </c>
      <c r="E125" s="5" t="s">
        <v>14</v>
      </c>
      <c r="F125" s="3" t="s">
        <v>15</v>
      </c>
      <c r="G125" s="377" t="s">
        <v>16</v>
      </c>
      <c r="H125" s="3" t="s">
        <v>17</v>
      </c>
      <c r="I125" s="103" t="s">
        <v>18</v>
      </c>
      <c r="K125" s="1"/>
      <c r="L125" s="1"/>
      <c r="M125" s="1"/>
      <c r="N125" s="1"/>
    </row>
    <row r="126" spans="1:14" s="27" customFormat="1" ht="14.25" hidden="1" x14ac:dyDescent="0.2">
      <c r="A126" s="133" t="s">
        <v>58</v>
      </c>
      <c r="B126" s="286">
        <v>30</v>
      </c>
      <c r="C126" s="247">
        <v>7497000</v>
      </c>
      <c r="D126" s="23">
        <v>7497000</v>
      </c>
      <c r="E126" s="28">
        <f>C126-D126</f>
        <v>0</v>
      </c>
      <c r="F126" s="29">
        <f>E126/C126</f>
        <v>0</v>
      </c>
      <c r="G126" s="381" t="s">
        <v>414</v>
      </c>
      <c r="H126" s="30"/>
      <c r="I126" s="106"/>
    </row>
    <row r="127" spans="1:14" s="27" customFormat="1" ht="14.25" hidden="1" x14ac:dyDescent="0.2">
      <c r="A127" s="133" t="s">
        <v>59</v>
      </c>
      <c r="B127" s="286">
        <v>2</v>
      </c>
      <c r="C127" s="247">
        <f>6445992+3897008</f>
        <v>10343000</v>
      </c>
      <c r="D127" s="23">
        <v>10343000</v>
      </c>
      <c r="E127" s="28">
        <f>C127-D127</f>
        <v>0</v>
      </c>
      <c r="F127" s="29">
        <f>E127/C127</f>
        <v>0</v>
      </c>
      <c r="G127" s="381" t="s">
        <v>414</v>
      </c>
      <c r="H127" s="30"/>
      <c r="I127" s="106"/>
    </row>
    <row r="128" spans="1:14" hidden="1" x14ac:dyDescent="0.2">
      <c r="A128" s="976" t="s">
        <v>60</v>
      </c>
      <c r="B128" s="977"/>
      <c r="C128" s="195">
        <f>SUM(C70:C127)</f>
        <v>1060731007</v>
      </c>
      <c r="D128" s="16">
        <f>SUM(D70:D127)</f>
        <v>983549991</v>
      </c>
      <c r="E128" s="17">
        <f>C128-D128</f>
        <v>77181016</v>
      </c>
      <c r="F128" s="18">
        <f>E128/C128</f>
        <v>7.2762100372917637E-2</v>
      </c>
      <c r="G128" s="379"/>
      <c r="H128" s="20"/>
      <c r="I128" s="105"/>
      <c r="K128" s="1"/>
      <c r="L128" s="1"/>
      <c r="M128" s="1"/>
      <c r="N128" s="1"/>
    </row>
    <row r="129" spans="1:14" ht="12.75" x14ac:dyDescent="0.2">
      <c r="A129" s="968" t="s">
        <v>61</v>
      </c>
      <c r="B129" s="969"/>
      <c r="C129" s="969"/>
      <c r="D129" s="969"/>
      <c r="E129" s="969"/>
      <c r="F129" s="969"/>
      <c r="G129" s="969"/>
      <c r="H129" s="969"/>
      <c r="I129" s="970"/>
      <c r="K129" s="1"/>
      <c r="L129" s="1"/>
      <c r="M129" s="1"/>
      <c r="N129" s="1"/>
    </row>
    <row r="130" spans="1:14" ht="12.75" hidden="1" customHeight="1" x14ac:dyDescent="0.2">
      <c r="A130" s="2" t="s">
        <v>25</v>
      </c>
      <c r="B130" s="957" t="s">
        <v>43</v>
      </c>
      <c r="C130" s="958"/>
      <c r="D130" s="958"/>
      <c r="E130" s="958"/>
      <c r="F130" s="958"/>
      <c r="G130" s="958"/>
      <c r="H130" s="958"/>
      <c r="I130" s="959"/>
      <c r="K130" s="1"/>
      <c r="L130" s="1"/>
      <c r="M130" s="1"/>
      <c r="N130" s="1"/>
    </row>
    <row r="131" spans="1:14" ht="12.75" hidden="1" customHeight="1" x14ac:dyDescent="0.2">
      <c r="A131" s="2" t="s">
        <v>3</v>
      </c>
      <c r="B131" s="957" t="s">
        <v>27</v>
      </c>
      <c r="C131" s="958"/>
      <c r="D131" s="958"/>
      <c r="E131" s="958"/>
      <c r="F131" s="958"/>
      <c r="G131" s="958"/>
      <c r="H131" s="958"/>
      <c r="I131" s="959"/>
      <c r="K131" s="1"/>
      <c r="L131" s="1"/>
      <c r="M131" s="1"/>
      <c r="N131" s="1"/>
    </row>
    <row r="132" spans="1:14" ht="12.75" hidden="1" x14ac:dyDescent="0.2">
      <c r="A132" s="2" t="s">
        <v>5</v>
      </c>
      <c r="B132" s="960" t="s">
        <v>66</v>
      </c>
      <c r="C132" s="961"/>
      <c r="D132" s="961"/>
      <c r="E132" s="961"/>
      <c r="F132" s="961"/>
      <c r="G132" s="961"/>
      <c r="H132" s="961"/>
      <c r="I132" s="962"/>
      <c r="K132" s="1"/>
      <c r="L132" s="1"/>
      <c r="M132" s="1"/>
      <c r="N132" s="1"/>
    </row>
    <row r="133" spans="1:14" ht="12.75" hidden="1" x14ac:dyDescent="0.2">
      <c r="A133" s="2" t="s">
        <v>6</v>
      </c>
      <c r="B133" s="960" t="s">
        <v>64</v>
      </c>
      <c r="C133" s="961"/>
      <c r="D133" s="961"/>
      <c r="E133" s="961"/>
      <c r="F133" s="961"/>
      <c r="G133" s="961"/>
      <c r="H133" s="961"/>
      <c r="I133" s="962"/>
      <c r="K133" s="1"/>
      <c r="L133" s="1"/>
      <c r="M133" s="1"/>
      <c r="N133" s="1"/>
    </row>
    <row r="134" spans="1:14" ht="12.75" hidden="1" x14ac:dyDescent="0.2">
      <c r="A134" s="2" t="s">
        <v>8</v>
      </c>
      <c r="B134" s="960" t="s">
        <v>65</v>
      </c>
      <c r="C134" s="961"/>
      <c r="D134" s="961"/>
      <c r="E134" s="961"/>
      <c r="F134" s="961"/>
      <c r="G134" s="961"/>
      <c r="H134" s="961"/>
      <c r="I134" s="962"/>
      <c r="K134" s="1"/>
      <c r="L134" s="1"/>
      <c r="M134" s="1"/>
      <c r="N134" s="1"/>
    </row>
    <row r="135" spans="1:14" ht="38.25" hidden="1" x14ac:dyDescent="0.2">
      <c r="A135" s="296" t="s">
        <v>10</v>
      </c>
      <c r="B135" s="3" t="s">
        <v>11</v>
      </c>
      <c r="C135" s="193" t="s">
        <v>12</v>
      </c>
      <c r="D135" s="4" t="s">
        <v>13</v>
      </c>
      <c r="E135" s="5" t="s">
        <v>14</v>
      </c>
      <c r="F135" s="3" t="s">
        <v>15</v>
      </c>
      <c r="G135" s="377" t="s">
        <v>16</v>
      </c>
      <c r="H135" s="3" t="s">
        <v>17</v>
      </c>
      <c r="I135" s="103" t="s">
        <v>18</v>
      </c>
      <c r="K135" s="1"/>
      <c r="L135" s="1"/>
      <c r="M135" s="1"/>
      <c r="N135" s="1"/>
    </row>
    <row r="136" spans="1:14" s="27" customFormat="1" ht="123" hidden="1" customHeight="1" x14ac:dyDescent="0.2">
      <c r="A136" s="134" t="s">
        <v>250</v>
      </c>
      <c r="B136" s="137">
        <v>10</v>
      </c>
      <c r="C136" s="200">
        <v>80000000</v>
      </c>
      <c r="D136" s="23">
        <v>80000000</v>
      </c>
      <c r="E136" s="28">
        <f>C136-D136</f>
        <v>0</v>
      </c>
      <c r="F136" s="29">
        <f>E136/C136</f>
        <v>0</v>
      </c>
      <c r="G136" s="384" t="s">
        <v>414</v>
      </c>
      <c r="H136" s="30"/>
      <c r="I136" s="106"/>
    </row>
    <row r="137" spans="1:14" s="27" customFormat="1" ht="123" hidden="1" customHeight="1" x14ac:dyDescent="0.2">
      <c r="A137" s="135" t="s">
        <v>251</v>
      </c>
      <c r="B137" s="137">
        <v>2</v>
      </c>
      <c r="C137" s="200">
        <v>80000000</v>
      </c>
      <c r="D137" s="23">
        <f>30000000+50000000</f>
        <v>80000000</v>
      </c>
      <c r="E137" s="28">
        <f>C137-D137</f>
        <v>0</v>
      </c>
      <c r="F137" s="29">
        <f>E137/C137</f>
        <v>0</v>
      </c>
      <c r="G137" s="384" t="s">
        <v>433</v>
      </c>
      <c r="H137" s="30"/>
      <c r="I137" s="106"/>
    </row>
    <row r="138" spans="1:14" s="27" customFormat="1" ht="81.75" hidden="1" customHeight="1" x14ac:dyDescent="0.2">
      <c r="A138" s="136" t="s">
        <v>252</v>
      </c>
      <c r="B138" s="137">
        <v>25</v>
      </c>
      <c r="C138" s="200">
        <v>20000000</v>
      </c>
      <c r="D138" s="23">
        <v>20000000</v>
      </c>
      <c r="E138" s="28">
        <f>C138-D138</f>
        <v>0</v>
      </c>
      <c r="F138" s="29">
        <f>E138/C138</f>
        <v>0</v>
      </c>
      <c r="G138" s="384" t="s">
        <v>414</v>
      </c>
      <c r="H138" s="30"/>
      <c r="I138" s="106"/>
      <c r="K138" s="31"/>
      <c r="L138" s="31"/>
      <c r="M138" s="31"/>
      <c r="N138" s="31"/>
    </row>
    <row r="139" spans="1:14" s="27" customFormat="1" ht="268.5" customHeight="1" x14ac:dyDescent="0.2">
      <c r="A139" s="944" t="s">
        <v>253</v>
      </c>
      <c r="B139" s="137">
        <v>1</v>
      </c>
      <c r="C139" s="200">
        <v>258009252</v>
      </c>
      <c r="D139" s="23">
        <f>22025490+9797840+9797841+9797842+9797843+9797844+20900100+9044108+32475515+15224247+15224247+15224247+32475515+15224247+15223919+15978407</f>
        <v>258009252</v>
      </c>
      <c r="E139" s="28">
        <f>C139-D139</f>
        <v>0</v>
      </c>
      <c r="F139" s="29">
        <f>E139/C139</f>
        <v>0</v>
      </c>
      <c r="G139" s="381" t="s">
        <v>461</v>
      </c>
      <c r="H139" s="30"/>
      <c r="I139" s="114"/>
      <c r="K139" s="31"/>
      <c r="L139" s="31"/>
      <c r="M139" s="31"/>
      <c r="N139" s="31"/>
    </row>
    <row r="140" spans="1:14" s="27" customFormat="1" ht="40.5" hidden="1" customHeight="1" x14ac:dyDescent="0.2">
      <c r="A140" s="945"/>
      <c r="B140" s="137">
        <v>3200</v>
      </c>
      <c r="C140" s="200">
        <v>40000000</v>
      </c>
      <c r="D140" s="23">
        <v>40000000</v>
      </c>
      <c r="E140" s="28">
        <f>C140-D140</f>
        <v>0</v>
      </c>
      <c r="F140" s="29">
        <f>E140/C140</f>
        <v>0</v>
      </c>
      <c r="G140" s="381" t="s">
        <v>415</v>
      </c>
      <c r="H140" s="30"/>
      <c r="I140" s="106"/>
      <c r="K140" s="31"/>
      <c r="L140" s="31"/>
      <c r="M140" s="31"/>
      <c r="N140" s="31"/>
    </row>
    <row r="141" spans="1:14" ht="12.75" hidden="1" customHeight="1" x14ac:dyDescent="0.2">
      <c r="A141" s="2" t="s">
        <v>25</v>
      </c>
      <c r="B141" s="957" t="s">
        <v>43</v>
      </c>
      <c r="C141" s="958"/>
      <c r="D141" s="958"/>
      <c r="E141" s="958"/>
      <c r="F141" s="958"/>
      <c r="G141" s="958"/>
      <c r="H141" s="958"/>
      <c r="I141" s="959"/>
    </row>
    <row r="142" spans="1:14" ht="12.75" hidden="1" customHeight="1" x14ac:dyDescent="0.2">
      <c r="A142" s="2" t="s">
        <v>3</v>
      </c>
      <c r="B142" s="957" t="s">
        <v>27</v>
      </c>
      <c r="C142" s="958"/>
      <c r="D142" s="958"/>
      <c r="E142" s="958"/>
      <c r="F142" s="958"/>
      <c r="G142" s="958"/>
      <c r="H142" s="958"/>
      <c r="I142" s="959"/>
    </row>
    <row r="143" spans="1:14" ht="12.75" hidden="1" x14ac:dyDescent="0.2">
      <c r="A143" s="2" t="s">
        <v>5</v>
      </c>
      <c r="B143" s="960" t="s">
        <v>67</v>
      </c>
      <c r="C143" s="961"/>
      <c r="D143" s="961"/>
      <c r="E143" s="961"/>
      <c r="F143" s="961"/>
      <c r="G143" s="961"/>
      <c r="H143" s="961"/>
      <c r="I143" s="962"/>
    </row>
    <row r="144" spans="1:14" ht="12.75" hidden="1" x14ac:dyDescent="0.2">
      <c r="A144" s="2" t="s">
        <v>6</v>
      </c>
      <c r="B144" s="960" t="s">
        <v>64</v>
      </c>
      <c r="C144" s="961"/>
      <c r="D144" s="961"/>
      <c r="E144" s="961"/>
      <c r="F144" s="961"/>
      <c r="G144" s="961"/>
      <c r="H144" s="961"/>
      <c r="I144" s="962"/>
      <c r="K144" s="1"/>
      <c r="L144" s="1"/>
      <c r="M144" s="1"/>
      <c r="N144" s="1"/>
    </row>
    <row r="145" spans="1:14" ht="12.75" hidden="1" x14ac:dyDescent="0.2">
      <c r="A145" s="2" t="s">
        <v>8</v>
      </c>
      <c r="B145" s="960" t="s">
        <v>65</v>
      </c>
      <c r="C145" s="961"/>
      <c r="D145" s="961"/>
      <c r="E145" s="961"/>
      <c r="F145" s="961"/>
      <c r="G145" s="961"/>
      <c r="H145" s="961"/>
      <c r="I145" s="962"/>
      <c r="K145" s="1"/>
      <c r="L145" s="1"/>
      <c r="M145" s="1"/>
      <c r="N145" s="1"/>
    </row>
    <row r="146" spans="1:14" ht="38.25" hidden="1" x14ac:dyDescent="0.2">
      <c r="A146" s="296" t="s">
        <v>10</v>
      </c>
      <c r="B146" s="3" t="s">
        <v>11</v>
      </c>
      <c r="C146" s="193" t="s">
        <v>12</v>
      </c>
      <c r="D146" s="4" t="s">
        <v>13</v>
      </c>
      <c r="E146" s="5" t="s">
        <v>14</v>
      </c>
      <c r="F146" s="3" t="s">
        <v>15</v>
      </c>
      <c r="G146" s="377" t="s">
        <v>16</v>
      </c>
      <c r="H146" s="3" t="s">
        <v>17</v>
      </c>
      <c r="I146" s="103" t="s">
        <v>18</v>
      </c>
      <c r="K146" s="1"/>
      <c r="L146" s="1"/>
      <c r="M146" s="1"/>
      <c r="N146" s="1"/>
    </row>
    <row r="147" spans="1:14" s="27" customFormat="1" ht="34.5" hidden="1" customHeight="1" x14ac:dyDescent="0.2">
      <c r="A147" s="138" t="s">
        <v>254</v>
      </c>
      <c r="B147" s="286">
        <v>30</v>
      </c>
      <c r="C147" s="200">
        <v>35000000</v>
      </c>
      <c r="D147" s="35">
        <v>35000000</v>
      </c>
      <c r="E147" s="28">
        <f>C147-D147</f>
        <v>0</v>
      </c>
      <c r="F147" s="29">
        <f>E147/C147</f>
        <v>0</v>
      </c>
      <c r="G147" s="385" t="s">
        <v>434</v>
      </c>
      <c r="H147" s="38"/>
      <c r="I147" s="109"/>
    </row>
    <row r="148" spans="1:14" ht="22.5" hidden="1" customHeight="1" x14ac:dyDescent="0.2">
      <c r="A148" s="138" t="s">
        <v>255</v>
      </c>
      <c r="B148" s="286">
        <v>20</v>
      </c>
      <c r="C148" s="200">
        <v>8000000</v>
      </c>
      <c r="D148" s="35">
        <v>8000000</v>
      </c>
      <c r="E148" s="28">
        <f>C148-D148</f>
        <v>0</v>
      </c>
      <c r="F148" s="29">
        <f>E148/C148</f>
        <v>0</v>
      </c>
      <c r="G148" s="385" t="s">
        <v>434</v>
      </c>
      <c r="H148" s="30"/>
      <c r="I148" s="106"/>
      <c r="K148" s="1"/>
      <c r="L148" s="1"/>
      <c r="M148" s="1"/>
      <c r="N148" s="1"/>
    </row>
    <row r="149" spans="1:14" ht="14.85" hidden="1" customHeight="1" x14ac:dyDescent="0.2">
      <c r="A149" s="2" t="s">
        <v>25</v>
      </c>
      <c r="B149" s="957" t="s">
        <v>43</v>
      </c>
      <c r="C149" s="958"/>
      <c r="D149" s="958"/>
      <c r="E149" s="958"/>
      <c r="F149" s="958"/>
      <c r="G149" s="958"/>
      <c r="H149" s="958"/>
      <c r="I149" s="959"/>
      <c r="K149" s="1"/>
      <c r="L149" s="1"/>
      <c r="M149" s="1"/>
      <c r="N149" s="1"/>
    </row>
    <row r="150" spans="1:14" ht="14.85" hidden="1" customHeight="1" x14ac:dyDescent="0.2">
      <c r="A150" s="2" t="s">
        <v>3</v>
      </c>
      <c r="B150" s="957" t="s">
        <v>27</v>
      </c>
      <c r="C150" s="958"/>
      <c r="D150" s="958"/>
      <c r="E150" s="958"/>
      <c r="F150" s="958"/>
      <c r="G150" s="958"/>
      <c r="H150" s="958"/>
      <c r="I150" s="959"/>
      <c r="K150" s="1"/>
      <c r="L150" s="1"/>
      <c r="M150" s="1"/>
      <c r="N150" s="1"/>
    </row>
    <row r="151" spans="1:14" ht="12.75" hidden="1" x14ac:dyDescent="0.2">
      <c r="A151" s="2" t="s">
        <v>5</v>
      </c>
      <c r="B151" s="960" t="s">
        <v>68</v>
      </c>
      <c r="C151" s="961"/>
      <c r="D151" s="961"/>
      <c r="E151" s="961"/>
      <c r="F151" s="961"/>
      <c r="G151" s="961"/>
      <c r="H151" s="961"/>
      <c r="I151" s="962"/>
      <c r="K151" s="1"/>
      <c r="L151" s="1"/>
      <c r="M151" s="1"/>
      <c r="N151" s="1"/>
    </row>
    <row r="152" spans="1:14" ht="12.75" hidden="1" x14ac:dyDescent="0.2">
      <c r="A152" s="2" t="s">
        <v>6</v>
      </c>
      <c r="B152" s="960" t="s">
        <v>64</v>
      </c>
      <c r="C152" s="961"/>
      <c r="D152" s="961"/>
      <c r="E152" s="961"/>
      <c r="F152" s="961"/>
      <c r="G152" s="961"/>
      <c r="H152" s="961"/>
      <c r="I152" s="962"/>
      <c r="K152" s="1"/>
      <c r="L152" s="1"/>
      <c r="M152" s="1"/>
      <c r="N152" s="1"/>
    </row>
    <row r="153" spans="1:14" ht="12.75" hidden="1" customHeight="1" x14ac:dyDescent="0.2">
      <c r="A153" s="2" t="s">
        <v>8</v>
      </c>
      <c r="B153" s="960" t="s">
        <v>65</v>
      </c>
      <c r="C153" s="961"/>
      <c r="D153" s="961"/>
      <c r="E153" s="961"/>
      <c r="F153" s="961"/>
      <c r="G153" s="961"/>
      <c r="H153" s="961"/>
      <c r="I153" s="962"/>
      <c r="K153" s="1"/>
      <c r="L153" s="1"/>
      <c r="M153" s="1"/>
      <c r="N153" s="1"/>
    </row>
    <row r="154" spans="1:14" ht="38.25" hidden="1" x14ac:dyDescent="0.2">
      <c r="A154" s="296" t="s">
        <v>10</v>
      </c>
      <c r="B154" s="3" t="s">
        <v>11</v>
      </c>
      <c r="C154" s="193" t="s">
        <v>12</v>
      </c>
      <c r="D154" s="4" t="s">
        <v>13</v>
      </c>
      <c r="E154" s="5" t="s">
        <v>14</v>
      </c>
      <c r="F154" s="3" t="s">
        <v>15</v>
      </c>
      <c r="G154" s="377" t="s">
        <v>16</v>
      </c>
      <c r="H154" s="3" t="s">
        <v>17</v>
      </c>
      <c r="I154" s="103" t="s">
        <v>18</v>
      </c>
      <c r="K154" s="1"/>
      <c r="L154" s="1"/>
      <c r="M154" s="1"/>
      <c r="N154" s="1"/>
    </row>
    <row r="155" spans="1:14" s="27" customFormat="1" ht="17.25" hidden="1" customHeight="1" x14ac:dyDescent="0.2">
      <c r="A155" s="139" t="s">
        <v>69</v>
      </c>
      <c r="B155" s="286">
        <v>332</v>
      </c>
      <c r="C155" s="200">
        <v>20000000</v>
      </c>
      <c r="D155" s="23">
        <v>20000000</v>
      </c>
      <c r="E155" s="28">
        <f t="shared" ref="E155:E167" si="6">C155-D155</f>
        <v>0</v>
      </c>
      <c r="F155" s="29">
        <f t="shared" ref="F155:F167" si="7">E155/C155</f>
        <v>0</v>
      </c>
      <c r="G155" s="383"/>
      <c r="H155" s="30"/>
      <c r="I155" s="106"/>
    </row>
    <row r="156" spans="1:14" s="27" customFormat="1" ht="40.5" hidden="1" customHeight="1" x14ac:dyDescent="0.2">
      <c r="A156" s="139" t="s">
        <v>256</v>
      </c>
      <c r="B156" s="34">
        <v>1</v>
      </c>
      <c r="C156" s="200">
        <v>90000000</v>
      </c>
      <c r="D156" s="23">
        <v>90000000</v>
      </c>
      <c r="E156" s="28">
        <f t="shared" si="6"/>
        <v>0</v>
      </c>
      <c r="F156" s="29">
        <f t="shared" si="7"/>
        <v>0</v>
      </c>
      <c r="G156" s="385" t="s">
        <v>434</v>
      </c>
      <c r="H156" s="30"/>
      <c r="I156" s="106"/>
    </row>
    <row r="157" spans="1:14" s="27" customFormat="1" ht="41.25" hidden="1" customHeight="1" x14ac:dyDescent="0.2">
      <c r="A157" s="138" t="s">
        <v>257</v>
      </c>
      <c r="B157" s="34">
        <v>40</v>
      </c>
      <c r="C157" s="200">
        <f>(23100000*19%)+23100000</f>
        <v>27489000</v>
      </c>
      <c r="D157" s="23">
        <v>27489000</v>
      </c>
      <c r="E157" s="28">
        <f t="shared" si="6"/>
        <v>0</v>
      </c>
      <c r="F157" s="29">
        <f t="shared" si="7"/>
        <v>0</v>
      </c>
      <c r="G157" s="385" t="s">
        <v>434</v>
      </c>
      <c r="H157" s="30"/>
      <c r="I157" s="106"/>
    </row>
    <row r="158" spans="1:14" s="27" customFormat="1" ht="53.25" hidden="1" customHeight="1" x14ac:dyDescent="0.2">
      <c r="A158" s="138" t="s">
        <v>258</v>
      </c>
      <c r="B158" s="34">
        <v>1</v>
      </c>
      <c r="C158" s="200">
        <v>8000000</v>
      </c>
      <c r="D158" s="23">
        <v>8000000</v>
      </c>
      <c r="E158" s="28">
        <f t="shared" si="6"/>
        <v>0</v>
      </c>
      <c r="F158" s="29">
        <f t="shared" si="7"/>
        <v>0</v>
      </c>
      <c r="G158" s="385" t="s">
        <v>434</v>
      </c>
      <c r="H158" s="30"/>
      <c r="I158" s="106"/>
    </row>
    <row r="159" spans="1:14" s="27" customFormat="1" ht="113.25" hidden="1" customHeight="1" x14ac:dyDescent="0.2">
      <c r="A159" s="134" t="s">
        <v>259</v>
      </c>
      <c r="B159" s="34">
        <v>280</v>
      </c>
      <c r="C159" s="199">
        <v>57000000</v>
      </c>
      <c r="D159" s="23">
        <v>57000000</v>
      </c>
      <c r="E159" s="28">
        <f t="shared" si="6"/>
        <v>0</v>
      </c>
      <c r="F159" s="29">
        <f t="shared" si="7"/>
        <v>0</v>
      </c>
      <c r="G159" s="384" t="s">
        <v>428</v>
      </c>
      <c r="H159" s="30"/>
      <c r="I159" s="106"/>
    </row>
    <row r="160" spans="1:14" s="27" customFormat="1" ht="119.25" hidden="1" customHeight="1" x14ac:dyDescent="0.2">
      <c r="A160" s="138" t="s">
        <v>260</v>
      </c>
      <c r="B160" s="34">
        <v>1</v>
      </c>
      <c r="C160" s="197">
        <v>30000000</v>
      </c>
      <c r="D160" s="23">
        <v>30000000</v>
      </c>
      <c r="E160" s="28">
        <f t="shared" si="6"/>
        <v>0</v>
      </c>
      <c r="F160" s="29">
        <f t="shared" si="7"/>
        <v>0</v>
      </c>
      <c r="G160" s="383"/>
      <c r="H160" s="30"/>
      <c r="I160" s="106"/>
      <c r="K160" s="31"/>
      <c r="L160" s="31"/>
      <c r="M160" s="31"/>
      <c r="N160" s="31"/>
    </row>
    <row r="161" spans="1:14" s="27" customFormat="1" ht="106.5" hidden="1" customHeight="1" x14ac:dyDescent="0.2">
      <c r="A161" s="147" t="s">
        <v>261</v>
      </c>
      <c r="B161" s="34">
        <v>50</v>
      </c>
      <c r="C161" s="200">
        <v>7000000</v>
      </c>
      <c r="D161" s="23">
        <v>7000000</v>
      </c>
      <c r="E161" s="28">
        <f t="shared" si="6"/>
        <v>0</v>
      </c>
      <c r="F161" s="29">
        <f t="shared" si="7"/>
        <v>0</v>
      </c>
      <c r="G161" s="381" t="s">
        <v>414</v>
      </c>
      <c r="H161" s="30"/>
      <c r="I161" s="106"/>
      <c r="K161" s="31"/>
      <c r="L161" s="31"/>
      <c r="M161" s="31"/>
      <c r="N161" s="31"/>
    </row>
    <row r="162" spans="1:14" s="27" customFormat="1" ht="45" hidden="1" x14ac:dyDescent="0.2">
      <c r="A162" s="135" t="s">
        <v>262</v>
      </c>
      <c r="B162" s="34">
        <v>10</v>
      </c>
      <c r="C162" s="205">
        <v>30000000</v>
      </c>
      <c r="D162" s="23">
        <v>30000000</v>
      </c>
      <c r="E162" s="28">
        <f t="shared" si="6"/>
        <v>0</v>
      </c>
      <c r="F162" s="29">
        <f t="shared" si="7"/>
        <v>0</v>
      </c>
      <c r="G162" s="381" t="s">
        <v>414</v>
      </c>
      <c r="H162" s="30"/>
      <c r="I162" s="106"/>
      <c r="K162" s="31"/>
      <c r="L162" s="31"/>
      <c r="M162" s="31"/>
      <c r="N162" s="31"/>
    </row>
    <row r="163" spans="1:14" s="27" customFormat="1" ht="51" hidden="1" customHeight="1" x14ac:dyDescent="0.2">
      <c r="A163" s="140" t="s">
        <v>441</v>
      </c>
      <c r="B163" s="34">
        <v>1</v>
      </c>
      <c r="C163" s="200">
        <v>30000000</v>
      </c>
      <c r="D163" s="23">
        <v>30000000</v>
      </c>
      <c r="E163" s="28">
        <f t="shared" si="6"/>
        <v>0</v>
      </c>
      <c r="F163" s="29">
        <f t="shared" si="7"/>
        <v>0</v>
      </c>
      <c r="G163" s="381" t="s">
        <v>435</v>
      </c>
      <c r="H163" s="30"/>
      <c r="I163" s="106"/>
      <c r="K163" s="31"/>
      <c r="L163" s="31"/>
      <c r="M163" s="31"/>
      <c r="N163" s="31"/>
    </row>
    <row r="164" spans="1:14" s="27" customFormat="1" ht="48.75" hidden="1" customHeight="1" x14ac:dyDescent="0.2">
      <c r="A164" s="140" t="s">
        <v>263</v>
      </c>
      <c r="B164" s="286">
        <v>1</v>
      </c>
      <c r="C164" s="200">
        <v>14000000</v>
      </c>
      <c r="D164" s="23">
        <v>0</v>
      </c>
      <c r="E164" s="28">
        <f t="shared" si="6"/>
        <v>14000000</v>
      </c>
      <c r="F164" s="29">
        <f t="shared" si="7"/>
        <v>1</v>
      </c>
      <c r="G164" s="382"/>
      <c r="H164" s="30"/>
      <c r="I164" s="106"/>
      <c r="K164" s="31"/>
      <c r="L164" s="31"/>
      <c r="M164" s="31"/>
      <c r="N164" s="31"/>
    </row>
    <row r="165" spans="1:14" s="27" customFormat="1" ht="356.25" customHeight="1" x14ac:dyDescent="0.2">
      <c r="A165" s="141" t="s">
        <v>264</v>
      </c>
      <c r="B165" s="286">
        <v>9</v>
      </c>
      <c r="C165" s="197">
        <f>437776369+15827188</f>
        <v>453603557</v>
      </c>
      <c r="D165" s="23">
        <f>22025490+22025490+22025490+20900100+20900100+11253891+20900100+19292384+43407883+33761674+33761674+33761674+33761674+32636285+33761674+33600786+15827188</f>
        <v>453603557</v>
      </c>
      <c r="E165" s="28">
        <f t="shared" si="6"/>
        <v>0</v>
      </c>
      <c r="F165" s="29">
        <f t="shared" si="7"/>
        <v>0</v>
      </c>
      <c r="G165" s="381" t="s">
        <v>462</v>
      </c>
      <c r="H165" s="30"/>
      <c r="I165" s="298" t="s">
        <v>440</v>
      </c>
      <c r="K165" s="31"/>
      <c r="L165" s="31"/>
      <c r="M165" s="31"/>
      <c r="N165" s="31"/>
    </row>
    <row r="166" spans="1:14" s="27" customFormat="1" ht="36.75" hidden="1" customHeight="1" x14ac:dyDescent="0.2">
      <c r="A166" s="142" t="s">
        <v>70</v>
      </c>
      <c r="B166" s="286">
        <v>3</v>
      </c>
      <c r="C166" s="197">
        <v>2000000</v>
      </c>
      <c r="D166" s="23">
        <v>869700</v>
      </c>
      <c r="E166" s="28">
        <f t="shared" si="6"/>
        <v>1130300</v>
      </c>
      <c r="F166" s="29">
        <f t="shared" si="7"/>
        <v>0.56515000000000004</v>
      </c>
      <c r="G166" s="381" t="s">
        <v>432</v>
      </c>
      <c r="H166" s="30"/>
      <c r="I166" s="106"/>
      <c r="K166" s="31"/>
      <c r="L166" s="31"/>
      <c r="M166" s="31"/>
      <c r="N166" s="31"/>
    </row>
    <row r="167" spans="1:14" x14ac:dyDescent="0.2">
      <c r="A167" s="879" t="s">
        <v>72</v>
      </c>
      <c r="B167" s="880"/>
      <c r="C167" s="195">
        <f>SUM(C130:C166)</f>
        <v>1290101809</v>
      </c>
      <c r="D167" s="195">
        <f>SUM(D130:D166)</f>
        <v>1274971509</v>
      </c>
      <c r="E167" s="17">
        <f t="shared" si="6"/>
        <v>15130300</v>
      </c>
      <c r="F167" s="18">
        <f t="shared" si="7"/>
        <v>1.1727989135778353E-2</v>
      </c>
      <c r="G167" s="379"/>
      <c r="H167" s="20"/>
      <c r="I167" s="105"/>
    </row>
    <row r="168" spans="1:14" ht="12.75" x14ac:dyDescent="0.2">
      <c r="A168" s="968" t="s">
        <v>76</v>
      </c>
      <c r="B168" s="969"/>
      <c r="C168" s="969"/>
      <c r="D168" s="969"/>
      <c r="E168" s="969"/>
      <c r="F168" s="969"/>
      <c r="G168" s="969"/>
      <c r="H168" s="969"/>
      <c r="I168" s="970"/>
      <c r="K168" s="1"/>
      <c r="L168" s="1"/>
      <c r="M168" s="1"/>
      <c r="N168" s="1"/>
    </row>
    <row r="169" spans="1:14" ht="12.75" hidden="1" customHeight="1" x14ac:dyDescent="0.2">
      <c r="A169" s="2" t="s">
        <v>1</v>
      </c>
      <c r="B169" s="957" t="s">
        <v>45</v>
      </c>
      <c r="C169" s="958"/>
      <c r="D169" s="958"/>
      <c r="E169" s="958"/>
      <c r="F169" s="958"/>
      <c r="G169" s="958"/>
      <c r="H169" s="958"/>
      <c r="I169" s="959"/>
      <c r="K169" s="1"/>
      <c r="L169" s="1"/>
      <c r="M169" s="1"/>
      <c r="N169" s="1"/>
    </row>
    <row r="170" spans="1:14" ht="12.75" hidden="1" customHeight="1" x14ac:dyDescent="0.2">
      <c r="A170" s="2" t="s">
        <v>3</v>
      </c>
      <c r="B170" s="957" t="s">
        <v>77</v>
      </c>
      <c r="C170" s="958"/>
      <c r="D170" s="958"/>
      <c r="E170" s="958"/>
      <c r="F170" s="958"/>
      <c r="G170" s="958"/>
      <c r="H170" s="958"/>
      <c r="I170" s="959"/>
      <c r="K170" s="1"/>
      <c r="L170" s="1"/>
      <c r="M170" s="1"/>
      <c r="N170" s="1"/>
    </row>
    <row r="171" spans="1:14" ht="12.75" hidden="1" x14ac:dyDescent="0.2">
      <c r="A171" s="2" t="s">
        <v>5</v>
      </c>
      <c r="B171" s="960" t="s">
        <v>78</v>
      </c>
      <c r="C171" s="961"/>
      <c r="D171" s="961"/>
      <c r="E171" s="961"/>
      <c r="F171" s="961"/>
      <c r="G171" s="961"/>
      <c r="H171" s="961"/>
      <c r="I171" s="962"/>
      <c r="K171" s="1"/>
      <c r="L171" s="1"/>
      <c r="M171" s="1"/>
      <c r="N171" s="1"/>
    </row>
    <row r="172" spans="1:14" ht="12.75" hidden="1" x14ac:dyDescent="0.2">
      <c r="A172" s="2" t="s">
        <v>6</v>
      </c>
      <c r="B172" s="960" t="s">
        <v>79</v>
      </c>
      <c r="C172" s="961"/>
      <c r="D172" s="961"/>
      <c r="E172" s="961"/>
      <c r="F172" s="961"/>
      <c r="G172" s="961"/>
      <c r="H172" s="961"/>
      <c r="I172" s="962"/>
      <c r="K172" s="1"/>
      <c r="L172" s="1"/>
      <c r="M172" s="1"/>
      <c r="N172" s="1"/>
    </row>
    <row r="173" spans="1:14" ht="12.75" x14ac:dyDescent="0.2">
      <c r="A173" s="2" t="s">
        <v>8</v>
      </c>
      <c r="B173" s="960" t="s">
        <v>80</v>
      </c>
      <c r="C173" s="961"/>
      <c r="D173" s="961"/>
      <c r="E173" s="961"/>
      <c r="F173" s="961"/>
      <c r="G173" s="961"/>
      <c r="H173" s="961"/>
      <c r="I173" s="962"/>
      <c r="K173" s="1"/>
      <c r="L173" s="1"/>
      <c r="M173" s="1"/>
      <c r="N173" s="1"/>
    </row>
    <row r="174" spans="1:14" ht="38.25" hidden="1" x14ac:dyDescent="0.2">
      <c r="A174" s="296" t="s">
        <v>10</v>
      </c>
      <c r="B174" s="3" t="s">
        <v>11</v>
      </c>
      <c r="C174" s="193" t="s">
        <v>12</v>
      </c>
      <c r="D174" s="4" t="s">
        <v>13</v>
      </c>
      <c r="E174" s="5" t="s">
        <v>14</v>
      </c>
      <c r="F174" s="3" t="s">
        <v>15</v>
      </c>
      <c r="G174" s="377" t="s">
        <v>16</v>
      </c>
      <c r="H174" s="3" t="s">
        <v>17</v>
      </c>
      <c r="I174" s="103" t="s">
        <v>18</v>
      </c>
      <c r="K174" s="1"/>
      <c r="L174" s="1"/>
      <c r="M174" s="1"/>
      <c r="N174" s="1"/>
    </row>
    <row r="175" spans="1:14" s="27" customFormat="1" ht="12.75" hidden="1" customHeight="1" x14ac:dyDescent="0.2">
      <c r="A175" s="974" t="s">
        <v>265</v>
      </c>
      <c r="B175" s="853"/>
      <c r="C175" s="853"/>
      <c r="D175" s="853"/>
      <c r="E175" s="853"/>
      <c r="F175" s="853"/>
      <c r="G175" s="853"/>
      <c r="H175" s="853"/>
      <c r="I175" s="975"/>
    </row>
    <row r="176" spans="1:14" s="27" customFormat="1" ht="25.5" hidden="1" x14ac:dyDescent="0.2">
      <c r="A176" s="145" t="s">
        <v>81</v>
      </c>
      <c r="B176" s="48">
        <v>1</v>
      </c>
      <c r="C176" s="207">
        <v>530000</v>
      </c>
      <c r="D176" s="207">
        <v>530000</v>
      </c>
      <c r="E176" s="28">
        <f>C176-D176</f>
        <v>0</v>
      </c>
      <c r="F176" s="29">
        <f>E176/C176</f>
        <v>0</v>
      </c>
      <c r="G176" s="382"/>
      <c r="H176" s="30"/>
      <c r="I176" s="106"/>
    </row>
    <row r="177" spans="1:9" s="27" customFormat="1" hidden="1" x14ac:dyDescent="0.2">
      <c r="A177" s="146" t="s">
        <v>82</v>
      </c>
      <c r="B177" s="48">
        <v>4</v>
      </c>
      <c r="C177" s="207">
        <v>1060000</v>
      </c>
      <c r="D177" s="207">
        <v>1060000</v>
      </c>
      <c r="E177" s="28">
        <f>C177-D177</f>
        <v>0</v>
      </c>
      <c r="F177" s="29">
        <f>E177/C177</f>
        <v>0</v>
      </c>
      <c r="G177" s="382"/>
      <c r="H177" s="30"/>
      <c r="I177" s="106"/>
    </row>
    <row r="178" spans="1:9" s="27" customFormat="1" hidden="1" x14ac:dyDescent="0.2">
      <c r="A178" s="146" t="s">
        <v>83</v>
      </c>
      <c r="B178" s="48">
        <v>3</v>
      </c>
      <c r="C178" s="207">
        <v>10600000</v>
      </c>
      <c r="D178" s="207">
        <v>10600000</v>
      </c>
      <c r="E178" s="28">
        <f>C178-D178</f>
        <v>0</v>
      </c>
      <c r="F178" s="29">
        <f>E178/C178</f>
        <v>0</v>
      </c>
      <c r="G178" s="382"/>
      <c r="H178" s="30"/>
      <c r="I178" s="106"/>
    </row>
    <row r="179" spans="1:9" s="27" customFormat="1" ht="12.75" hidden="1" customHeight="1" x14ac:dyDescent="0.2">
      <c r="A179" s="146" t="s">
        <v>84</v>
      </c>
      <c r="B179" s="48">
        <v>2</v>
      </c>
      <c r="C179" s="207">
        <v>6890000</v>
      </c>
      <c r="D179" s="207">
        <v>6890000</v>
      </c>
      <c r="E179" s="28">
        <f>C179-D179</f>
        <v>0</v>
      </c>
      <c r="F179" s="29">
        <f>E179/C179</f>
        <v>0</v>
      </c>
      <c r="G179" s="382"/>
      <c r="H179" s="30"/>
      <c r="I179" s="106"/>
    </row>
    <row r="180" spans="1:9" s="27" customFormat="1" ht="12.75" hidden="1" customHeight="1" x14ac:dyDescent="0.2">
      <c r="A180" s="146" t="s">
        <v>85</v>
      </c>
      <c r="B180" s="48">
        <v>1</v>
      </c>
      <c r="C180" s="207">
        <v>6572000</v>
      </c>
      <c r="D180" s="207">
        <v>6572000</v>
      </c>
      <c r="E180" s="28">
        <f>C180-D180</f>
        <v>0</v>
      </c>
      <c r="F180" s="29">
        <f>E180/C180</f>
        <v>0</v>
      </c>
      <c r="G180" s="382"/>
      <c r="H180" s="30"/>
      <c r="I180" s="106"/>
    </row>
    <row r="181" spans="1:9" s="27" customFormat="1" hidden="1" x14ac:dyDescent="0.2">
      <c r="A181" s="227"/>
      <c r="B181" s="228"/>
      <c r="C181" s="229"/>
      <c r="D181" s="229"/>
      <c r="E181" s="231"/>
      <c r="F181" s="232"/>
      <c r="G181" s="386"/>
      <c r="H181" s="233"/>
      <c r="I181" s="234"/>
    </row>
    <row r="182" spans="1:9" s="27" customFormat="1" ht="12.75" hidden="1" customHeight="1" x14ac:dyDescent="0.2">
      <c r="A182" s="855" t="s">
        <v>86</v>
      </c>
      <c r="B182" s="853"/>
      <c r="C182" s="853"/>
      <c r="D182" s="853"/>
      <c r="E182" s="853"/>
      <c r="F182" s="853"/>
      <c r="G182" s="853"/>
      <c r="H182" s="853"/>
      <c r="I182" s="975"/>
    </row>
    <row r="183" spans="1:9" s="27" customFormat="1" ht="25.5" hidden="1" x14ac:dyDescent="0.2">
      <c r="A183" s="146" t="s">
        <v>81</v>
      </c>
      <c r="B183" s="48">
        <v>1</v>
      </c>
      <c r="C183" s="207">
        <v>530000</v>
      </c>
      <c r="D183" s="207">
        <v>530000</v>
      </c>
      <c r="E183" s="28">
        <f>C183-D183</f>
        <v>0</v>
      </c>
      <c r="F183" s="29">
        <f>E183/C183</f>
        <v>0</v>
      </c>
      <c r="G183" s="382"/>
      <c r="H183" s="30"/>
      <c r="I183" s="106"/>
    </row>
    <row r="184" spans="1:9" s="27" customFormat="1" ht="12.75" hidden="1" customHeight="1" x14ac:dyDescent="0.2">
      <c r="A184" s="146" t="s">
        <v>82</v>
      </c>
      <c r="B184" s="48">
        <v>4</v>
      </c>
      <c r="C184" s="207">
        <v>530000</v>
      </c>
      <c r="D184" s="207">
        <v>530000</v>
      </c>
      <c r="E184" s="28">
        <f>C184-D184</f>
        <v>0</v>
      </c>
      <c r="F184" s="29">
        <f>E184/C184</f>
        <v>0</v>
      </c>
      <c r="G184" s="382"/>
      <c r="H184" s="30"/>
      <c r="I184" s="106"/>
    </row>
    <row r="185" spans="1:9" s="27" customFormat="1" hidden="1" x14ac:dyDescent="0.2">
      <c r="A185" s="146" t="s">
        <v>83</v>
      </c>
      <c r="B185" s="48">
        <v>3</v>
      </c>
      <c r="C185" s="207">
        <v>2650000</v>
      </c>
      <c r="D185" s="207">
        <v>2650000</v>
      </c>
      <c r="E185" s="28">
        <f>C185-D185</f>
        <v>0</v>
      </c>
      <c r="F185" s="29">
        <f>E185/C185</f>
        <v>0</v>
      </c>
      <c r="G185" s="382"/>
      <c r="H185" s="30"/>
      <c r="I185" s="106"/>
    </row>
    <row r="186" spans="1:9" s="27" customFormat="1" ht="12.75" hidden="1" customHeight="1" x14ac:dyDescent="0.2">
      <c r="A186" s="146" t="s">
        <v>84</v>
      </c>
      <c r="B186" s="48">
        <v>3</v>
      </c>
      <c r="C186" s="207">
        <v>4770000</v>
      </c>
      <c r="D186" s="207">
        <v>4770000</v>
      </c>
      <c r="E186" s="28">
        <f>C186-D186</f>
        <v>0</v>
      </c>
      <c r="F186" s="29">
        <f>E186/C186</f>
        <v>0</v>
      </c>
      <c r="G186" s="382"/>
      <c r="H186" s="30"/>
      <c r="I186" s="106"/>
    </row>
    <row r="187" spans="1:9" s="27" customFormat="1" hidden="1" x14ac:dyDescent="0.2">
      <c r="A187" s="146" t="s">
        <v>85</v>
      </c>
      <c r="B187" s="48">
        <v>1</v>
      </c>
      <c r="C187" s="207">
        <v>2968000</v>
      </c>
      <c r="D187" s="207">
        <v>2968000</v>
      </c>
      <c r="E187" s="28">
        <f>C187-D187</f>
        <v>0</v>
      </c>
      <c r="F187" s="29">
        <f>E187/C187</f>
        <v>0</v>
      </c>
      <c r="G187" s="382"/>
      <c r="H187" s="30"/>
      <c r="I187" s="106"/>
    </row>
    <row r="188" spans="1:9" s="27" customFormat="1" hidden="1" x14ac:dyDescent="0.2">
      <c r="A188" s="227"/>
      <c r="B188" s="228"/>
      <c r="C188" s="229"/>
      <c r="E188" s="231"/>
      <c r="F188" s="232"/>
      <c r="G188" s="386"/>
      <c r="H188" s="36"/>
      <c r="I188" s="106"/>
    </row>
    <row r="189" spans="1:9" s="27" customFormat="1" hidden="1" x14ac:dyDescent="0.2">
      <c r="A189" s="227"/>
      <c r="B189" s="228"/>
      <c r="C189" s="230"/>
      <c r="D189" s="230"/>
      <c r="E189" s="231"/>
      <c r="F189" s="232"/>
      <c r="G189" s="386"/>
      <c r="H189" s="36"/>
      <c r="I189" s="106"/>
    </row>
    <row r="190" spans="1:9" s="27" customFormat="1" ht="15" hidden="1" customHeight="1" x14ac:dyDescent="0.2">
      <c r="A190" s="855" t="s">
        <v>266</v>
      </c>
      <c r="B190" s="853"/>
      <c r="C190" s="853"/>
      <c r="D190" s="853"/>
      <c r="E190" s="853"/>
      <c r="F190" s="853"/>
      <c r="G190" s="853"/>
      <c r="H190" s="854"/>
      <c r="I190" s="106"/>
    </row>
    <row r="191" spans="1:9" s="27" customFormat="1" hidden="1" x14ac:dyDescent="0.2">
      <c r="A191" s="146" t="s">
        <v>87</v>
      </c>
      <c r="B191" s="286">
        <v>5</v>
      </c>
      <c r="C191" s="207">
        <v>6000000</v>
      </c>
      <c r="D191" s="23">
        <v>6000000</v>
      </c>
      <c r="E191" s="28">
        <f>C191-D191</f>
        <v>0</v>
      </c>
      <c r="F191" s="29">
        <f>E191/C191</f>
        <v>0</v>
      </c>
      <c r="G191" s="382"/>
      <c r="H191" s="30"/>
      <c r="I191" s="106"/>
    </row>
    <row r="192" spans="1:9" s="27" customFormat="1" ht="12.75" hidden="1" customHeight="1" x14ac:dyDescent="0.2">
      <c r="A192" s="146" t="s">
        <v>85</v>
      </c>
      <c r="B192" s="286">
        <v>2</v>
      </c>
      <c r="C192" s="207">
        <v>13000000</v>
      </c>
      <c r="D192" s="23">
        <v>13000000</v>
      </c>
      <c r="E192" s="28">
        <f>C192-D192</f>
        <v>0</v>
      </c>
      <c r="F192" s="29">
        <f>E192/C192</f>
        <v>0</v>
      </c>
      <c r="G192" s="382"/>
      <c r="H192" s="30"/>
      <c r="I192" s="106"/>
    </row>
    <row r="193" spans="1:9" s="27" customFormat="1" hidden="1" x14ac:dyDescent="0.2">
      <c r="A193" s="148" t="s">
        <v>267</v>
      </c>
      <c r="B193" s="286">
        <v>1</v>
      </c>
      <c r="C193" s="208">
        <v>1000000</v>
      </c>
      <c r="D193" s="23">
        <v>1000000</v>
      </c>
      <c r="E193" s="28">
        <f>C193-D193</f>
        <v>0</v>
      </c>
      <c r="F193" s="29">
        <f>E193/C193</f>
        <v>0</v>
      </c>
      <c r="G193" s="382"/>
      <c r="H193" s="30"/>
      <c r="I193" s="106"/>
    </row>
    <row r="194" spans="1:9" s="27" customFormat="1" ht="15" hidden="1" customHeight="1" x14ac:dyDescent="0.2">
      <c r="A194" s="853" t="s">
        <v>88</v>
      </c>
      <c r="B194" s="853"/>
      <c r="C194" s="853"/>
      <c r="D194" s="853"/>
      <c r="E194" s="853"/>
      <c r="F194" s="853"/>
      <c r="G194" s="853"/>
      <c r="H194" s="854"/>
      <c r="I194" s="106"/>
    </row>
    <row r="195" spans="1:9" s="27" customFormat="1" ht="18.75" hidden="1" customHeight="1" x14ac:dyDescent="0.2">
      <c r="A195" s="146" t="s">
        <v>89</v>
      </c>
      <c r="B195" s="286">
        <v>4</v>
      </c>
      <c r="C195" s="207">
        <v>2000000</v>
      </c>
      <c r="D195" s="23">
        <v>2000000</v>
      </c>
      <c r="E195" s="28">
        <f>C195-D195</f>
        <v>0</v>
      </c>
      <c r="F195" s="29">
        <f>E195/C195</f>
        <v>0</v>
      </c>
      <c r="G195" s="381" t="s">
        <v>414</v>
      </c>
      <c r="H195" s="30"/>
      <c r="I195" s="106"/>
    </row>
    <row r="196" spans="1:9" s="27" customFormat="1" ht="56.25" hidden="1" customHeight="1" x14ac:dyDescent="0.2">
      <c r="A196" s="146" t="s">
        <v>90</v>
      </c>
      <c r="B196" s="286">
        <v>2</v>
      </c>
      <c r="C196" s="207">
        <v>10000000</v>
      </c>
      <c r="D196" s="23">
        <f>6000000+4000000</f>
        <v>10000000</v>
      </c>
      <c r="E196" s="28">
        <f>C196-D196</f>
        <v>0</v>
      </c>
      <c r="F196" s="29">
        <f>E196/C196</f>
        <v>0</v>
      </c>
      <c r="G196" s="387" t="s">
        <v>424</v>
      </c>
      <c r="H196" s="30"/>
      <c r="I196" s="298"/>
    </row>
    <row r="197" spans="1:9" s="27" customFormat="1" ht="14.25" hidden="1" x14ac:dyDescent="0.2">
      <c r="A197" s="145" t="s">
        <v>268</v>
      </c>
      <c r="B197" s="48">
        <v>4</v>
      </c>
      <c r="C197" s="207">
        <v>5000000</v>
      </c>
      <c r="D197" s="23">
        <v>5000000</v>
      </c>
      <c r="E197" s="28">
        <f>C197-D197</f>
        <v>0</v>
      </c>
      <c r="F197" s="29">
        <f>E197/C197</f>
        <v>0</v>
      </c>
      <c r="G197" s="381" t="s">
        <v>414</v>
      </c>
      <c r="H197" s="30"/>
      <c r="I197" s="106"/>
    </row>
    <row r="198" spans="1:9" s="27" customFormat="1" ht="42" hidden="1" customHeight="1" x14ac:dyDescent="0.2">
      <c r="A198" s="149" t="s">
        <v>91</v>
      </c>
      <c r="B198" s="48">
        <v>2</v>
      </c>
      <c r="C198" s="209">
        <v>5300000</v>
      </c>
      <c r="D198" s="23">
        <v>5300000</v>
      </c>
      <c r="E198" s="28">
        <f>C198-D198</f>
        <v>0</v>
      </c>
      <c r="F198" s="29">
        <f>E198/C198</f>
        <v>0</v>
      </c>
      <c r="G198" s="381" t="s">
        <v>414</v>
      </c>
      <c r="H198" s="30"/>
      <c r="I198" s="106"/>
    </row>
    <row r="199" spans="1:9" s="27" customFormat="1" ht="25.5" hidden="1" x14ac:dyDescent="0.2">
      <c r="A199" s="150" t="s">
        <v>269</v>
      </c>
      <c r="B199" s="48">
        <v>12</v>
      </c>
      <c r="C199" s="209">
        <v>5300000</v>
      </c>
      <c r="D199" s="23">
        <v>5300000</v>
      </c>
      <c r="E199" s="28">
        <f>C199-D199</f>
        <v>0</v>
      </c>
      <c r="F199" s="29">
        <f>E199/C199</f>
        <v>0</v>
      </c>
      <c r="G199" s="381" t="s">
        <v>414</v>
      </c>
      <c r="H199" s="30"/>
      <c r="I199" s="106"/>
    </row>
    <row r="200" spans="1:9" s="27" customFormat="1" ht="25.5" hidden="1" customHeight="1" x14ac:dyDescent="0.2">
      <c r="A200" s="855" t="s">
        <v>92</v>
      </c>
      <c r="B200" s="853"/>
      <c r="C200" s="853"/>
      <c r="D200" s="853"/>
      <c r="E200" s="853"/>
      <c r="F200" s="853"/>
      <c r="G200" s="853"/>
      <c r="H200" s="854"/>
      <c r="I200" s="143"/>
    </row>
    <row r="201" spans="1:9" s="27" customFormat="1" ht="40.5" hidden="1" customHeight="1" x14ac:dyDescent="0.2">
      <c r="A201" s="146" t="s">
        <v>93</v>
      </c>
      <c r="B201" s="286">
        <v>3</v>
      </c>
      <c r="C201" s="207">
        <v>5035000</v>
      </c>
      <c r="D201" s="40">
        <v>5035000</v>
      </c>
      <c r="E201" s="28">
        <f t="shared" ref="E201:E211" si="8">C201-D201</f>
        <v>0</v>
      </c>
      <c r="F201" s="29">
        <f t="shared" ref="F201:F211" si="9">E201/C201</f>
        <v>0</v>
      </c>
      <c r="G201" s="381" t="s">
        <v>414</v>
      </c>
      <c r="H201" s="30"/>
      <c r="I201" s="106"/>
    </row>
    <row r="202" spans="1:9" s="27" customFormat="1" ht="42.75" hidden="1" customHeight="1" x14ac:dyDescent="0.2">
      <c r="A202" s="145" t="s">
        <v>94</v>
      </c>
      <c r="B202" s="286">
        <v>12</v>
      </c>
      <c r="C202" s="207">
        <v>2500000</v>
      </c>
      <c r="D202" s="40">
        <v>2500000</v>
      </c>
      <c r="E202" s="28">
        <f t="shared" si="8"/>
        <v>0</v>
      </c>
      <c r="F202" s="29">
        <f t="shared" si="9"/>
        <v>0</v>
      </c>
      <c r="G202" s="381" t="s">
        <v>414</v>
      </c>
      <c r="H202" s="30"/>
      <c r="I202" s="106"/>
    </row>
    <row r="203" spans="1:9" s="27" customFormat="1" ht="75.75" hidden="1" customHeight="1" x14ac:dyDescent="0.2">
      <c r="A203" s="146" t="s">
        <v>95</v>
      </c>
      <c r="B203" s="286">
        <v>10</v>
      </c>
      <c r="C203" s="207">
        <v>10000000</v>
      </c>
      <c r="D203" s="23">
        <f>6000000+4000000</f>
        <v>10000000</v>
      </c>
      <c r="E203" s="28">
        <f t="shared" si="8"/>
        <v>0</v>
      </c>
      <c r="F203" s="29">
        <f t="shared" si="9"/>
        <v>0</v>
      </c>
      <c r="G203" s="387" t="s">
        <v>424</v>
      </c>
      <c r="H203" s="30"/>
      <c r="I203" s="106"/>
    </row>
    <row r="204" spans="1:9" s="27" customFormat="1" ht="42" hidden="1" customHeight="1" x14ac:dyDescent="0.2">
      <c r="A204" s="151" t="s">
        <v>96</v>
      </c>
      <c r="B204" s="286">
        <v>19</v>
      </c>
      <c r="C204" s="207">
        <v>2000000</v>
      </c>
      <c r="D204" s="23">
        <v>2000000</v>
      </c>
      <c r="E204" s="28">
        <f t="shared" si="8"/>
        <v>0</v>
      </c>
      <c r="F204" s="29">
        <f t="shared" si="9"/>
        <v>0</v>
      </c>
      <c r="G204" s="381" t="s">
        <v>414</v>
      </c>
      <c r="H204" s="30"/>
      <c r="I204" s="106"/>
    </row>
    <row r="205" spans="1:9" s="27" customFormat="1" ht="54" hidden="1" customHeight="1" x14ac:dyDescent="0.2">
      <c r="A205" s="146" t="s">
        <v>270</v>
      </c>
      <c r="B205" s="286">
        <v>1</v>
      </c>
      <c r="C205" s="197">
        <v>15000000</v>
      </c>
      <c r="D205" s="23">
        <v>15000000</v>
      </c>
      <c r="E205" s="28">
        <f t="shared" si="8"/>
        <v>0</v>
      </c>
      <c r="F205" s="29">
        <f t="shared" si="9"/>
        <v>0</v>
      </c>
      <c r="G205" s="382"/>
      <c r="H205" s="30"/>
      <c r="I205" s="143"/>
    </row>
    <row r="206" spans="1:9" s="27" customFormat="1" ht="24.75" hidden="1" customHeight="1" x14ac:dyDescent="0.2">
      <c r="A206" s="152" t="s">
        <v>97</v>
      </c>
      <c r="B206" s="286">
        <v>4</v>
      </c>
      <c r="C206" s="197">
        <v>3000000</v>
      </c>
      <c r="D206" s="23">
        <v>3000000</v>
      </c>
      <c r="E206" s="28">
        <f t="shared" si="8"/>
        <v>0</v>
      </c>
      <c r="F206" s="29">
        <f t="shared" si="9"/>
        <v>0</v>
      </c>
      <c r="G206" s="381" t="s">
        <v>414</v>
      </c>
      <c r="H206" s="30"/>
      <c r="I206" s="106"/>
    </row>
    <row r="207" spans="1:9" s="27" customFormat="1" ht="33.75" hidden="1" customHeight="1" x14ac:dyDescent="0.2">
      <c r="A207" s="30" t="s">
        <v>98</v>
      </c>
      <c r="B207" s="286">
        <v>10</v>
      </c>
      <c r="C207" s="210">
        <v>1000000</v>
      </c>
      <c r="D207" s="23">
        <v>1000000</v>
      </c>
      <c r="E207" s="28">
        <f t="shared" si="8"/>
        <v>0</v>
      </c>
      <c r="F207" s="29">
        <f t="shared" si="9"/>
        <v>0</v>
      </c>
      <c r="G207" s="381" t="s">
        <v>414</v>
      </c>
      <c r="H207" s="30"/>
      <c r="I207" s="106"/>
    </row>
    <row r="208" spans="1:9" s="27" customFormat="1" ht="44.25" hidden="1" customHeight="1" x14ac:dyDescent="0.2">
      <c r="A208" s="14" t="s">
        <v>99</v>
      </c>
      <c r="B208" s="286">
        <v>5</v>
      </c>
      <c r="C208" s="211">
        <v>5000000</v>
      </c>
      <c r="D208" s="23">
        <v>5000000</v>
      </c>
      <c r="E208" s="28">
        <f t="shared" si="8"/>
        <v>0</v>
      </c>
      <c r="F208" s="29">
        <f t="shared" si="9"/>
        <v>0</v>
      </c>
      <c r="G208" s="381" t="s">
        <v>414</v>
      </c>
      <c r="H208" s="30"/>
      <c r="I208" s="106"/>
    </row>
    <row r="209" spans="1:14" s="27" customFormat="1" ht="71.25" hidden="1" x14ac:dyDescent="0.2">
      <c r="A209" s="14" t="s">
        <v>271</v>
      </c>
      <c r="B209" s="144">
        <v>6</v>
      </c>
      <c r="C209" s="211">
        <v>10000000</v>
      </c>
      <c r="D209" s="23">
        <f>6000000+4000000</f>
        <v>10000000</v>
      </c>
      <c r="E209" s="28">
        <f>C209-D209</f>
        <v>0</v>
      </c>
      <c r="F209" s="29">
        <f>E209/C209</f>
        <v>0</v>
      </c>
      <c r="G209" s="387" t="s">
        <v>424</v>
      </c>
      <c r="H209" s="295"/>
      <c r="I209" s="143"/>
      <c r="K209" s="23">
        <v>225556813</v>
      </c>
    </row>
    <row r="210" spans="1:14" s="27" customFormat="1" ht="162" customHeight="1" x14ac:dyDescent="0.2">
      <c r="A210" s="14" t="s">
        <v>272</v>
      </c>
      <c r="B210" s="144">
        <v>5</v>
      </c>
      <c r="C210" s="211">
        <v>244512630</v>
      </c>
      <c r="D210" s="23">
        <f>22025490+13681094+17858224+22025490+16077000+27373928+20971024+32153975+33761674+33761674</f>
        <v>239689573</v>
      </c>
      <c r="E210" s="28">
        <f t="shared" si="8"/>
        <v>4823057</v>
      </c>
      <c r="F210" s="29">
        <f t="shared" si="9"/>
        <v>1.972518556607894E-2</v>
      </c>
      <c r="G210" s="381" t="s">
        <v>448</v>
      </c>
      <c r="H210" s="295"/>
      <c r="I210" s="360"/>
      <c r="K210" s="95"/>
    </row>
    <row r="211" spans="1:14" hidden="1" x14ac:dyDescent="0.2">
      <c r="A211" s="879" t="s">
        <v>100</v>
      </c>
      <c r="B211" s="880"/>
      <c r="C211" s="195">
        <f>SUM(C175:C210)</f>
        <v>382747630</v>
      </c>
      <c r="D211" s="195">
        <f>SUM(D175:D210)</f>
        <v>377924573</v>
      </c>
      <c r="E211" s="17">
        <f t="shared" si="8"/>
        <v>4823057</v>
      </c>
      <c r="F211" s="18">
        <f t="shared" si="9"/>
        <v>1.2601141383945342E-2</v>
      </c>
      <c r="G211" s="379"/>
      <c r="H211" s="20"/>
      <c r="I211" s="105"/>
      <c r="K211" s="1"/>
      <c r="L211" s="1"/>
      <c r="M211" s="1"/>
      <c r="N211" s="1"/>
    </row>
    <row r="212" spans="1:14" ht="12.75" hidden="1" customHeight="1" x14ac:dyDescent="0.2">
      <c r="A212" s="2" t="s">
        <v>1</v>
      </c>
      <c r="B212" s="957" t="s">
        <v>45</v>
      </c>
      <c r="C212" s="958"/>
      <c r="D212" s="958"/>
      <c r="E212" s="958"/>
      <c r="F212" s="958"/>
      <c r="G212" s="958"/>
      <c r="H212" s="958"/>
      <c r="I212" s="959"/>
      <c r="K212" s="1"/>
      <c r="L212" s="1"/>
      <c r="M212" s="1"/>
      <c r="N212" s="1"/>
    </row>
    <row r="213" spans="1:14" ht="12.75" hidden="1" customHeight="1" x14ac:dyDescent="0.2">
      <c r="A213" s="2" t="s">
        <v>3</v>
      </c>
      <c r="B213" s="957" t="s">
        <v>77</v>
      </c>
      <c r="C213" s="958"/>
      <c r="D213" s="958"/>
      <c r="E213" s="958"/>
      <c r="F213" s="958"/>
      <c r="G213" s="958"/>
      <c r="H213" s="958"/>
      <c r="I213" s="959"/>
      <c r="K213" s="1"/>
      <c r="L213" s="1"/>
      <c r="M213" s="1"/>
      <c r="N213" s="1"/>
    </row>
    <row r="214" spans="1:14" ht="12.75" hidden="1" x14ac:dyDescent="0.2">
      <c r="A214" s="2" t="s">
        <v>5</v>
      </c>
      <c r="B214" s="960" t="s">
        <v>273</v>
      </c>
      <c r="C214" s="961"/>
      <c r="D214" s="961"/>
      <c r="E214" s="961"/>
      <c r="F214" s="961"/>
      <c r="G214" s="961"/>
      <c r="H214" s="961"/>
      <c r="I214" s="962"/>
      <c r="K214" s="1"/>
      <c r="L214" s="1"/>
      <c r="M214" s="1"/>
      <c r="N214" s="1"/>
    </row>
    <row r="215" spans="1:14" ht="12.75" hidden="1" x14ac:dyDescent="0.2">
      <c r="A215" s="2" t="s">
        <v>6</v>
      </c>
      <c r="B215" s="960" t="s">
        <v>79</v>
      </c>
      <c r="C215" s="961"/>
      <c r="D215" s="961"/>
      <c r="E215" s="961"/>
      <c r="F215" s="961"/>
      <c r="G215" s="961"/>
      <c r="H215" s="961"/>
      <c r="I215" s="962"/>
      <c r="K215" s="1"/>
      <c r="L215" s="1"/>
      <c r="M215" s="1"/>
      <c r="N215" s="1"/>
    </row>
    <row r="216" spans="1:14" ht="12.75" x14ac:dyDescent="0.2">
      <c r="A216" s="2" t="s">
        <v>8</v>
      </c>
      <c r="B216" s="960" t="s">
        <v>273</v>
      </c>
      <c r="C216" s="961"/>
      <c r="D216" s="961"/>
      <c r="E216" s="961"/>
      <c r="F216" s="961"/>
      <c r="G216" s="961"/>
      <c r="H216" s="961"/>
      <c r="I216" s="962"/>
      <c r="K216" s="1"/>
      <c r="L216" s="1"/>
      <c r="M216" s="1"/>
      <c r="N216" s="1"/>
    </row>
    <row r="217" spans="1:14" ht="38.25" hidden="1" x14ac:dyDescent="0.2">
      <c r="A217" s="296" t="s">
        <v>10</v>
      </c>
      <c r="B217" s="3" t="s">
        <v>11</v>
      </c>
      <c r="C217" s="193" t="s">
        <v>12</v>
      </c>
      <c r="D217" s="4" t="s">
        <v>13</v>
      </c>
      <c r="E217" s="5" t="s">
        <v>14</v>
      </c>
      <c r="F217" s="3" t="s">
        <v>15</v>
      </c>
      <c r="G217" s="377" t="s">
        <v>16</v>
      </c>
      <c r="H217" s="3" t="s">
        <v>17</v>
      </c>
      <c r="I217" s="103" t="s">
        <v>18</v>
      </c>
      <c r="K217" s="1"/>
      <c r="L217" s="1"/>
      <c r="M217" s="1"/>
      <c r="N217" s="1"/>
    </row>
    <row r="218" spans="1:14" s="27" customFormat="1" ht="84" hidden="1" customHeight="1" x14ac:dyDescent="0.2">
      <c r="A218" s="153" t="s">
        <v>274</v>
      </c>
      <c r="B218" s="286">
        <v>9</v>
      </c>
      <c r="C218" s="154">
        <v>10000000</v>
      </c>
      <c r="D218" s="23">
        <v>10000000</v>
      </c>
      <c r="E218" s="28">
        <f>C218-D218</f>
        <v>0</v>
      </c>
      <c r="F218" s="29">
        <f>E218/C218</f>
        <v>0</v>
      </c>
      <c r="G218" s="381" t="s">
        <v>414</v>
      </c>
      <c r="H218" s="30"/>
      <c r="I218" s="143"/>
    </row>
    <row r="219" spans="1:14" s="27" customFormat="1" ht="84" hidden="1" customHeight="1" x14ac:dyDescent="0.2">
      <c r="A219" s="153" t="s">
        <v>275</v>
      </c>
      <c r="B219" s="286">
        <v>100</v>
      </c>
      <c r="C219" s="197">
        <v>55000000</v>
      </c>
      <c r="D219" s="23">
        <f>36000000+19000000</f>
        <v>55000000</v>
      </c>
      <c r="E219" s="28">
        <f t="shared" ref="E219:E226" si="10">C219-D219</f>
        <v>0</v>
      </c>
      <c r="F219" s="29">
        <f t="shared" ref="F219:F226" si="11">E219/C219</f>
        <v>0</v>
      </c>
      <c r="G219" s="382"/>
      <c r="H219" s="30"/>
      <c r="I219" s="143"/>
    </row>
    <row r="220" spans="1:14" s="27" customFormat="1" ht="84" hidden="1" customHeight="1" x14ac:dyDescent="0.2">
      <c r="A220" s="153" t="s">
        <v>276</v>
      </c>
      <c r="B220" s="286">
        <v>45</v>
      </c>
      <c r="C220" s="197">
        <v>30000000</v>
      </c>
      <c r="D220" s="23">
        <v>30000000</v>
      </c>
      <c r="E220" s="28">
        <f t="shared" si="10"/>
        <v>0</v>
      </c>
      <c r="F220" s="29">
        <f t="shared" si="11"/>
        <v>0</v>
      </c>
      <c r="G220" s="382"/>
      <c r="H220" s="30"/>
      <c r="I220" s="143"/>
    </row>
    <row r="221" spans="1:14" s="27" customFormat="1" ht="84" hidden="1" customHeight="1" x14ac:dyDescent="0.2">
      <c r="A221" s="153" t="s">
        <v>277</v>
      </c>
      <c r="B221" s="286">
        <v>1</v>
      </c>
      <c r="C221" s="197">
        <v>10000000</v>
      </c>
      <c r="D221" s="23">
        <v>10000000</v>
      </c>
      <c r="E221" s="28">
        <f t="shared" si="10"/>
        <v>0</v>
      </c>
      <c r="F221" s="29">
        <f t="shared" si="11"/>
        <v>0</v>
      </c>
      <c r="G221" s="382"/>
      <c r="H221" s="30"/>
      <c r="I221" s="143"/>
    </row>
    <row r="222" spans="1:14" s="27" customFormat="1" ht="84" hidden="1" customHeight="1" x14ac:dyDescent="0.2">
      <c r="A222" s="155" t="s">
        <v>278</v>
      </c>
      <c r="B222" s="286">
        <v>1</v>
      </c>
      <c r="C222" s="197">
        <v>40000000</v>
      </c>
      <c r="D222" s="23">
        <v>40000000</v>
      </c>
      <c r="E222" s="28">
        <f t="shared" si="10"/>
        <v>0</v>
      </c>
      <c r="F222" s="29">
        <f t="shared" si="11"/>
        <v>0</v>
      </c>
      <c r="G222" s="382"/>
      <c r="H222" s="30"/>
      <c r="I222" s="143"/>
    </row>
    <row r="223" spans="1:14" s="27" customFormat="1" ht="84" hidden="1" customHeight="1" x14ac:dyDescent="0.2">
      <c r="A223" s="155" t="s">
        <v>410</v>
      </c>
      <c r="B223" s="286">
        <v>3</v>
      </c>
      <c r="C223" s="197">
        <v>30000000</v>
      </c>
      <c r="D223" s="23">
        <v>30000000</v>
      </c>
      <c r="E223" s="28">
        <f t="shared" si="10"/>
        <v>0</v>
      </c>
      <c r="F223" s="29">
        <f t="shared" si="11"/>
        <v>0</v>
      </c>
      <c r="G223" s="381" t="s">
        <v>438</v>
      </c>
      <c r="H223" s="30"/>
      <c r="I223" s="143"/>
    </row>
    <row r="224" spans="1:14" s="27" customFormat="1" ht="84" hidden="1" customHeight="1" x14ac:dyDescent="0.2">
      <c r="A224" s="153" t="s">
        <v>279</v>
      </c>
      <c r="B224" s="286">
        <v>500</v>
      </c>
      <c r="C224" s="197">
        <v>15000000</v>
      </c>
      <c r="D224" s="23">
        <v>15000000</v>
      </c>
      <c r="E224" s="28">
        <f t="shared" si="10"/>
        <v>0</v>
      </c>
      <c r="F224" s="29">
        <f t="shared" si="11"/>
        <v>0</v>
      </c>
      <c r="G224" s="382"/>
      <c r="H224" s="30"/>
      <c r="I224" s="143"/>
    </row>
    <row r="225" spans="1:14" s="27" customFormat="1" ht="84" hidden="1" customHeight="1" x14ac:dyDescent="0.2">
      <c r="A225" s="153" t="s">
        <v>280</v>
      </c>
      <c r="B225" s="286">
        <v>1</v>
      </c>
      <c r="C225" s="197">
        <v>30000000</v>
      </c>
      <c r="D225" s="23">
        <v>30000000</v>
      </c>
      <c r="E225" s="28">
        <f t="shared" si="10"/>
        <v>0</v>
      </c>
      <c r="F225" s="29">
        <f t="shared" si="11"/>
        <v>0</v>
      </c>
      <c r="G225" s="382"/>
      <c r="H225" s="30"/>
      <c r="I225" s="143"/>
    </row>
    <row r="226" spans="1:14" s="27" customFormat="1" ht="135" customHeight="1" x14ac:dyDescent="0.2">
      <c r="A226" s="156" t="s">
        <v>272</v>
      </c>
      <c r="B226" s="286">
        <v>5</v>
      </c>
      <c r="C226" s="197">
        <f>322034826-27373928</f>
        <v>294660898</v>
      </c>
      <c r="D226" s="23">
        <f>27948000+17858224+20900100+20578560+16554704+16237770+42840000+27373928+33761674+33761674</f>
        <v>257814634</v>
      </c>
      <c r="E226" s="28">
        <f t="shared" si="10"/>
        <v>36846264</v>
      </c>
      <c r="F226" s="29">
        <f t="shared" si="11"/>
        <v>0.125046330375332</v>
      </c>
      <c r="G226" s="381" t="s">
        <v>459</v>
      </c>
      <c r="H226" s="30"/>
      <c r="I226" s="143"/>
    </row>
    <row r="227" spans="1:14" hidden="1" x14ac:dyDescent="0.2">
      <c r="A227" s="879" t="s">
        <v>101</v>
      </c>
      <c r="B227" s="880"/>
      <c r="C227" s="195">
        <f>SUM(C218:C226)</f>
        <v>514660898</v>
      </c>
      <c r="D227" s="16">
        <f>SUM(D218:D226)</f>
        <v>477814634</v>
      </c>
      <c r="E227" s="17">
        <f>C227-D227</f>
        <v>36846264</v>
      </c>
      <c r="F227" s="18">
        <f>E227/C227</f>
        <v>7.1593284322136325E-2</v>
      </c>
      <c r="G227" s="379"/>
      <c r="H227" s="20"/>
      <c r="I227" s="105"/>
      <c r="K227" s="1"/>
      <c r="L227" s="1"/>
      <c r="M227" s="1"/>
      <c r="N227" s="1"/>
    </row>
    <row r="228" spans="1:14" ht="12.75" hidden="1" customHeight="1" x14ac:dyDescent="0.2">
      <c r="A228" s="2" t="s">
        <v>1</v>
      </c>
      <c r="B228" s="957" t="s">
        <v>45</v>
      </c>
      <c r="C228" s="958"/>
      <c r="D228" s="958"/>
      <c r="E228" s="958"/>
      <c r="F228" s="958"/>
      <c r="G228" s="958"/>
      <c r="H228" s="958"/>
      <c r="I228" s="959"/>
      <c r="K228" s="1"/>
      <c r="L228" s="1"/>
      <c r="M228" s="1"/>
      <c r="N228" s="1"/>
    </row>
    <row r="229" spans="1:14" ht="12.75" hidden="1" customHeight="1" x14ac:dyDescent="0.2">
      <c r="A229" s="2" t="s">
        <v>3</v>
      </c>
      <c r="B229" s="957" t="s">
        <v>77</v>
      </c>
      <c r="C229" s="958"/>
      <c r="D229" s="958"/>
      <c r="E229" s="958"/>
      <c r="F229" s="958"/>
      <c r="G229" s="958"/>
      <c r="H229" s="958"/>
      <c r="I229" s="959"/>
      <c r="K229" s="1"/>
      <c r="L229" s="1"/>
      <c r="M229" s="1"/>
      <c r="N229" s="1"/>
    </row>
    <row r="230" spans="1:14" ht="12.75" hidden="1" x14ac:dyDescent="0.2">
      <c r="A230" s="2" t="s">
        <v>5</v>
      </c>
      <c r="B230" s="960" t="s">
        <v>102</v>
      </c>
      <c r="C230" s="961"/>
      <c r="D230" s="961"/>
      <c r="E230" s="961"/>
      <c r="F230" s="961"/>
      <c r="G230" s="961"/>
      <c r="H230" s="961"/>
      <c r="I230" s="962"/>
      <c r="K230" s="1"/>
      <c r="L230" s="1"/>
      <c r="M230" s="1"/>
      <c r="N230" s="1"/>
    </row>
    <row r="231" spans="1:14" ht="12.75" hidden="1" x14ac:dyDescent="0.2">
      <c r="A231" s="2" t="s">
        <v>6</v>
      </c>
      <c r="B231" s="960" t="s">
        <v>79</v>
      </c>
      <c r="C231" s="961"/>
      <c r="D231" s="961"/>
      <c r="E231" s="961"/>
      <c r="F231" s="961"/>
      <c r="G231" s="961"/>
      <c r="H231" s="961"/>
      <c r="I231" s="962"/>
      <c r="K231" s="1"/>
      <c r="L231" s="1"/>
      <c r="M231" s="1"/>
      <c r="N231" s="1"/>
    </row>
    <row r="232" spans="1:14" ht="12.75" x14ac:dyDescent="0.2">
      <c r="A232" s="2" t="s">
        <v>8</v>
      </c>
      <c r="B232" s="960" t="s">
        <v>103</v>
      </c>
      <c r="C232" s="961"/>
      <c r="D232" s="961"/>
      <c r="E232" s="961"/>
      <c r="F232" s="961"/>
      <c r="G232" s="961"/>
      <c r="H232" s="961"/>
      <c r="I232" s="962"/>
      <c r="K232" s="1"/>
      <c r="L232" s="1"/>
      <c r="M232" s="1"/>
      <c r="N232" s="1"/>
    </row>
    <row r="233" spans="1:14" ht="38.25" hidden="1" x14ac:dyDescent="0.2">
      <c r="A233" s="296" t="s">
        <v>10</v>
      </c>
      <c r="B233" s="3" t="s">
        <v>11</v>
      </c>
      <c r="C233" s="193" t="s">
        <v>12</v>
      </c>
      <c r="D233" s="4" t="s">
        <v>13</v>
      </c>
      <c r="E233" s="5" t="s">
        <v>14</v>
      </c>
      <c r="F233" s="3" t="s">
        <v>15</v>
      </c>
      <c r="G233" s="377" t="s">
        <v>16</v>
      </c>
      <c r="H233" s="3" t="s">
        <v>17</v>
      </c>
      <c r="I233" s="103" t="s">
        <v>18</v>
      </c>
      <c r="K233" s="1"/>
      <c r="L233" s="1"/>
      <c r="M233" s="1"/>
      <c r="N233" s="1"/>
    </row>
    <row r="234" spans="1:14" s="27" customFormat="1" ht="70.5" hidden="1" customHeight="1" x14ac:dyDescent="0.2">
      <c r="A234" s="158" t="s">
        <v>281</v>
      </c>
      <c r="B234" s="286">
        <v>1</v>
      </c>
      <c r="C234" s="197">
        <v>40000000</v>
      </c>
      <c r="D234" s="35">
        <v>0</v>
      </c>
      <c r="E234" s="28">
        <f t="shared" ref="E234:E239" si="12">C234-D234</f>
        <v>40000000</v>
      </c>
      <c r="F234" s="29">
        <f t="shared" ref="F234:F239" si="13">E234/C234</f>
        <v>1</v>
      </c>
      <c r="G234" s="382"/>
      <c r="H234" s="30"/>
      <c r="I234" s="106"/>
    </row>
    <row r="235" spans="1:14" s="27" customFormat="1" ht="75" hidden="1" customHeight="1" x14ac:dyDescent="0.2">
      <c r="A235" s="158" t="s">
        <v>282</v>
      </c>
      <c r="B235" s="286">
        <v>1</v>
      </c>
      <c r="C235" s="200">
        <v>40000000</v>
      </c>
      <c r="D235" s="35">
        <v>0</v>
      </c>
      <c r="E235" s="28">
        <f t="shared" si="12"/>
        <v>40000000</v>
      </c>
      <c r="F235" s="29">
        <f t="shared" si="13"/>
        <v>1</v>
      </c>
      <c r="G235" s="382"/>
      <c r="H235" s="30"/>
      <c r="I235" s="106"/>
    </row>
    <row r="236" spans="1:14" s="27" customFormat="1" ht="97.5" hidden="1" customHeight="1" x14ac:dyDescent="0.2">
      <c r="A236" s="159" t="s">
        <v>283</v>
      </c>
      <c r="B236" s="286">
        <v>1</v>
      </c>
      <c r="C236" s="200">
        <v>40000000</v>
      </c>
      <c r="D236" s="35">
        <v>0</v>
      </c>
      <c r="E236" s="28">
        <f t="shared" si="12"/>
        <v>40000000</v>
      </c>
      <c r="F236" s="29">
        <f t="shared" si="13"/>
        <v>1</v>
      </c>
      <c r="G236" s="382"/>
      <c r="H236" s="30"/>
      <c r="I236" s="106"/>
    </row>
    <row r="237" spans="1:14" s="27" customFormat="1" ht="98.25" hidden="1" customHeight="1" x14ac:dyDescent="0.2">
      <c r="A237" s="160" t="s">
        <v>284</v>
      </c>
      <c r="B237" s="286">
        <v>1</v>
      </c>
      <c r="C237" s="198">
        <v>50000000</v>
      </c>
      <c r="D237" s="35">
        <f>42000000+8000000</f>
        <v>50000000</v>
      </c>
      <c r="E237" s="28">
        <f t="shared" si="12"/>
        <v>0</v>
      </c>
      <c r="F237" s="29">
        <f t="shared" si="13"/>
        <v>0</v>
      </c>
      <c r="G237" s="381" t="s">
        <v>425</v>
      </c>
      <c r="H237" s="30"/>
      <c r="I237" s="106"/>
    </row>
    <row r="238" spans="1:14" s="27" customFormat="1" ht="195" customHeight="1" x14ac:dyDescent="0.2">
      <c r="A238" s="157" t="s">
        <v>272</v>
      </c>
      <c r="B238" s="286">
        <v>5</v>
      </c>
      <c r="C238" s="198">
        <v>220985973</v>
      </c>
      <c r="D238" s="35">
        <f>22025490+17858224+20578560+15251184+6783084+27373928+33761674+15827196+33761674</f>
        <v>193221014</v>
      </c>
      <c r="E238" s="28">
        <f t="shared" si="12"/>
        <v>27764959</v>
      </c>
      <c r="F238" s="29">
        <f t="shared" si="13"/>
        <v>0.12564127316804855</v>
      </c>
      <c r="G238" s="381" t="s">
        <v>454</v>
      </c>
      <c r="H238" s="30"/>
      <c r="I238" s="106"/>
    </row>
    <row r="239" spans="1:14" hidden="1" x14ac:dyDescent="0.2">
      <c r="A239" s="879" t="s">
        <v>104</v>
      </c>
      <c r="B239" s="880"/>
      <c r="C239" s="195">
        <f>SUM(C234:C238)</f>
        <v>390985973</v>
      </c>
      <c r="D239" s="16">
        <f>SUM(D234:D238)</f>
        <v>243221014</v>
      </c>
      <c r="E239" s="17">
        <f t="shared" si="12"/>
        <v>147764959</v>
      </c>
      <c r="F239" s="18">
        <f t="shared" si="13"/>
        <v>0.37792905424768269</v>
      </c>
      <c r="G239" s="379"/>
      <c r="H239" s="20"/>
      <c r="I239" s="105"/>
      <c r="K239" s="1"/>
      <c r="L239" s="1"/>
      <c r="M239" s="1"/>
      <c r="N239" s="1"/>
    </row>
    <row r="240" spans="1:14" ht="12.75" hidden="1" customHeight="1" x14ac:dyDescent="0.2">
      <c r="A240" s="2" t="s">
        <v>1</v>
      </c>
      <c r="B240" s="957" t="s">
        <v>45</v>
      </c>
      <c r="C240" s="958"/>
      <c r="D240" s="958"/>
      <c r="E240" s="958"/>
      <c r="F240" s="958"/>
      <c r="G240" s="958"/>
      <c r="H240" s="958"/>
      <c r="I240" s="959"/>
      <c r="K240" s="1"/>
      <c r="L240" s="1"/>
      <c r="M240" s="1"/>
      <c r="N240" s="1"/>
    </row>
    <row r="241" spans="1:14" ht="12.75" hidden="1" customHeight="1" x14ac:dyDescent="0.2">
      <c r="A241" s="2" t="s">
        <v>3</v>
      </c>
      <c r="B241" s="957" t="s">
        <v>77</v>
      </c>
      <c r="C241" s="958"/>
      <c r="D241" s="958"/>
      <c r="E241" s="958"/>
      <c r="F241" s="958"/>
      <c r="G241" s="958"/>
      <c r="H241" s="958"/>
      <c r="I241" s="959"/>
      <c r="K241" s="1"/>
      <c r="L241" s="1"/>
      <c r="M241" s="1"/>
      <c r="N241" s="1"/>
    </row>
    <row r="242" spans="1:14" ht="12.75" hidden="1" customHeight="1" x14ac:dyDescent="0.2">
      <c r="A242" s="2" t="s">
        <v>5</v>
      </c>
      <c r="B242" s="960" t="s">
        <v>105</v>
      </c>
      <c r="C242" s="961"/>
      <c r="D242" s="961"/>
      <c r="E242" s="961"/>
      <c r="F242" s="961"/>
      <c r="G242" s="961"/>
      <c r="H242" s="961"/>
      <c r="I242" s="962"/>
      <c r="K242" s="1"/>
      <c r="L242" s="1"/>
      <c r="M242" s="1"/>
      <c r="N242" s="1"/>
    </row>
    <row r="243" spans="1:14" ht="12.75" hidden="1" x14ac:dyDescent="0.2">
      <c r="A243" s="2" t="s">
        <v>6</v>
      </c>
      <c r="B243" s="960" t="s">
        <v>79</v>
      </c>
      <c r="C243" s="961"/>
      <c r="D243" s="961"/>
      <c r="E243" s="961"/>
      <c r="F243" s="961"/>
      <c r="G243" s="961"/>
      <c r="H243" s="961"/>
      <c r="I243" s="962"/>
      <c r="K243" s="1"/>
      <c r="L243" s="1"/>
      <c r="M243" s="1"/>
      <c r="N243" s="1"/>
    </row>
    <row r="244" spans="1:14" ht="12.75" x14ac:dyDescent="0.2">
      <c r="A244" s="2" t="s">
        <v>8</v>
      </c>
      <c r="B244" s="960" t="s">
        <v>453</v>
      </c>
      <c r="C244" s="961"/>
      <c r="D244" s="961"/>
      <c r="E244" s="961"/>
      <c r="F244" s="961"/>
      <c r="G244" s="961"/>
      <c r="H244" s="961"/>
      <c r="I244" s="962"/>
      <c r="K244" s="1"/>
      <c r="L244" s="1"/>
      <c r="M244" s="1"/>
      <c r="N244" s="1"/>
    </row>
    <row r="245" spans="1:14" ht="38.25" hidden="1" x14ac:dyDescent="0.2">
      <c r="A245" s="296" t="s">
        <v>10</v>
      </c>
      <c r="B245" s="3" t="s">
        <v>11</v>
      </c>
      <c r="C245" s="193" t="s">
        <v>12</v>
      </c>
      <c r="D245" s="4" t="s">
        <v>13</v>
      </c>
      <c r="E245" s="5" t="s">
        <v>14</v>
      </c>
      <c r="F245" s="3" t="s">
        <v>15</v>
      </c>
      <c r="G245" s="377" t="s">
        <v>16</v>
      </c>
      <c r="H245" s="3" t="s">
        <v>17</v>
      </c>
      <c r="I245" s="103" t="s">
        <v>18</v>
      </c>
      <c r="K245" s="1"/>
      <c r="L245" s="1"/>
      <c r="M245" s="1"/>
      <c r="N245" s="1"/>
    </row>
    <row r="246" spans="1:14" ht="77.25" customHeight="1" x14ac:dyDescent="0.2">
      <c r="A246" s="32" t="s">
        <v>201</v>
      </c>
      <c r="B246" s="286">
        <v>4</v>
      </c>
      <c r="C246" s="196">
        <f>111861998-15827188-15827188</f>
        <v>80207622</v>
      </c>
      <c r="D246" s="15">
        <f>23466310+9797840+9797783+37902364</f>
        <v>80964297</v>
      </c>
      <c r="E246" s="10">
        <f>C246-D246</f>
        <v>-756675</v>
      </c>
      <c r="F246" s="11">
        <f>E246/C246</f>
        <v>-9.4339537955632196E-3</v>
      </c>
      <c r="G246" s="381" t="s">
        <v>457</v>
      </c>
      <c r="H246" s="30"/>
      <c r="I246" s="106"/>
      <c r="K246" s="94"/>
      <c r="L246" s="1"/>
      <c r="M246" s="1"/>
      <c r="N246" s="1"/>
    </row>
    <row r="247" spans="1:14" ht="12.75" hidden="1" customHeight="1" x14ac:dyDescent="0.2">
      <c r="A247" s="879" t="s">
        <v>418</v>
      </c>
      <c r="B247" s="880"/>
      <c r="C247" s="195">
        <f>SUM(C246:C246)</f>
        <v>80207622</v>
      </c>
      <c r="D247" s="16">
        <f>SUM(D246:D246)</f>
        <v>80964297</v>
      </c>
      <c r="E247" s="17">
        <f>C247-D247</f>
        <v>-756675</v>
      </c>
      <c r="F247" s="18">
        <f>E247/C247</f>
        <v>-9.4339537955632196E-3</v>
      </c>
      <c r="G247" s="379"/>
      <c r="H247" s="20"/>
      <c r="I247" s="105"/>
      <c r="K247" s="1"/>
      <c r="L247" s="1"/>
      <c r="M247" s="1"/>
      <c r="N247" s="1"/>
    </row>
    <row r="248" spans="1:14" ht="12.75" hidden="1" customHeight="1" x14ac:dyDescent="0.2">
      <c r="A248" s="2" t="s">
        <v>107</v>
      </c>
      <c r="B248" s="957" t="s">
        <v>108</v>
      </c>
      <c r="C248" s="958"/>
      <c r="D248" s="958"/>
      <c r="E248" s="958"/>
      <c r="F248" s="958"/>
      <c r="G248" s="958"/>
      <c r="H248" s="958"/>
      <c r="I248" s="959"/>
      <c r="K248" s="1"/>
      <c r="L248" s="1"/>
      <c r="M248" s="1"/>
      <c r="N248" s="1"/>
    </row>
    <row r="249" spans="1:14" ht="12.75" hidden="1" customHeight="1" x14ac:dyDescent="0.2">
      <c r="A249" s="2" t="s">
        <v>3</v>
      </c>
      <c r="B249" s="957" t="s">
        <v>109</v>
      </c>
      <c r="C249" s="958"/>
      <c r="D249" s="958"/>
      <c r="E249" s="958"/>
      <c r="F249" s="958"/>
      <c r="G249" s="958"/>
      <c r="H249" s="958"/>
      <c r="I249" s="959"/>
      <c r="K249" s="1"/>
      <c r="L249" s="1"/>
      <c r="M249" s="1"/>
      <c r="N249" s="1"/>
    </row>
    <row r="250" spans="1:14" ht="12.75" hidden="1" customHeight="1" x14ac:dyDescent="0.2">
      <c r="A250" s="2" t="s">
        <v>5</v>
      </c>
      <c r="B250" s="960" t="s">
        <v>110</v>
      </c>
      <c r="C250" s="961"/>
      <c r="D250" s="961"/>
      <c r="E250" s="961"/>
      <c r="F250" s="961"/>
      <c r="G250" s="961"/>
      <c r="H250" s="961"/>
      <c r="I250" s="962"/>
      <c r="K250" s="1"/>
      <c r="L250" s="1"/>
      <c r="M250" s="1"/>
      <c r="N250" s="1"/>
    </row>
    <row r="251" spans="1:14" ht="12.75" hidden="1" customHeight="1" x14ac:dyDescent="0.2">
      <c r="A251" s="2" t="s">
        <v>111</v>
      </c>
      <c r="B251" s="960" t="s">
        <v>112</v>
      </c>
      <c r="C251" s="961"/>
      <c r="D251" s="961"/>
      <c r="E251" s="961"/>
      <c r="F251" s="961"/>
      <c r="G251" s="961"/>
      <c r="H251" s="961"/>
      <c r="I251" s="962"/>
      <c r="K251" s="1"/>
      <c r="L251" s="1"/>
      <c r="M251" s="1"/>
      <c r="N251" s="1"/>
    </row>
    <row r="252" spans="1:14" ht="12.75" hidden="1" x14ac:dyDescent="0.2">
      <c r="A252" s="2" t="s">
        <v>6</v>
      </c>
      <c r="B252" s="960" t="s">
        <v>79</v>
      </c>
      <c r="C252" s="961"/>
      <c r="D252" s="961"/>
      <c r="E252" s="961"/>
      <c r="F252" s="961"/>
      <c r="G252" s="961"/>
      <c r="H252" s="961"/>
      <c r="I252" s="962"/>
      <c r="K252" s="1"/>
      <c r="L252" s="1"/>
      <c r="M252" s="1"/>
      <c r="N252" s="1"/>
    </row>
    <row r="253" spans="1:14" ht="12.75" x14ac:dyDescent="0.2">
      <c r="A253" s="2" t="s">
        <v>8</v>
      </c>
      <c r="B253" s="960" t="s">
        <v>113</v>
      </c>
      <c r="C253" s="961"/>
      <c r="D253" s="961"/>
      <c r="E253" s="961"/>
      <c r="F253" s="961"/>
      <c r="G253" s="961"/>
      <c r="H253" s="961"/>
      <c r="I253" s="962"/>
      <c r="K253" s="1"/>
      <c r="L253" s="1"/>
      <c r="M253" s="1"/>
      <c r="N253" s="1"/>
    </row>
    <row r="254" spans="1:14" ht="38.25" hidden="1" x14ac:dyDescent="0.2">
      <c r="A254" s="296" t="s">
        <v>10</v>
      </c>
      <c r="B254" s="3" t="s">
        <v>11</v>
      </c>
      <c r="C254" s="193" t="s">
        <v>12</v>
      </c>
      <c r="D254" s="4" t="s">
        <v>13</v>
      </c>
      <c r="E254" s="5" t="s">
        <v>14</v>
      </c>
      <c r="F254" s="3" t="s">
        <v>15</v>
      </c>
      <c r="G254" s="377" t="s">
        <v>16</v>
      </c>
      <c r="H254" s="3" t="s">
        <v>17</v>
      </c>
      <c r="I254" s="103" t="s">
        <v>18</v>
      </c>
      <c r="K254" s="1"/>
      <c r="L254" s="1"/>
      <c r="M254" s="1"/>
      <c r="N254" s="1"/>
    </row>
    <row r="255" spans="1:14" ht="25.5" hidden="1" x14ac:dyDescent="0.2">
      <c r="A255" s="162" t="s">
        <v>286</v>
      </c>
      <c r="B255" s="8">
        <v>1</v>
      </c>
      <c r="C255" s="163">
        <v>4000000</v>
      </c>
      <c r="D255" s="161">
        <v>4000000</v>
      </c>
      <c r="E255" s="10">
        <f>C255-D255</f>
        <v>0</v>
      </c>
      <c r="F255" s="11">
        <f t="shared" ref="F255:F261" si="14">E255/C255</f>
        <v>0</v>
      </c>
      <c r="G255" s="380" t="s">
        <v>428</v>
      </c>
      <c r="H255" s="13"/>
      <c r="I255" s="104"/>
      <c r="K255" s="1"/>
      <c r="L255" s="1"/>
      <c r="M255" s="1"/>
      <c r="N255" s="1"/>
    </row>
    <row r="256" spans="1:14" ht="36.75" hidden="1" customHeight="1" x14ac:dyDescent="0.2">
      <c r="A256" s="7" t="s">
        <v>114</v>
      </c>
      <c r="B256" s="8">
        <v>2</v>
      </c>
      <c r="C256" s="163">
        <v>20000000</v>
      </c>
      <c r="D256" s="9">
        <v>20000000</v>
      </c>
      <c r="E256" s="10">
        <f>C256-D256</f>
        <v>0</v>
      </c>
      <c r="F256" s="11">
        <f t="shared" si="14"/>
        <v>0</v>
      </c>
      <c r="G256" s="380" t="s">
        <v>420</v>
      </c>
      <c r="H256" s="13"/>
      <c r="I256" s="104"/>
      <c r="K256" s="1"/>
      <c r="L256" s="1"/>
      <c r="M256" s="1"/>
      <c r="N256" s="1"/>
    </row>
    <row r="257" spans="1:14" ht="27" hidden="1" customHeight="1" x14ac:dyDescent="0.2">
      <c r="A257" s="42" t="s">
        <v>287</v>
      </c>
      <c r="B257" s="8">
        <v>2</v>
      </c>
      <c r="C257" s="163">
        <v>17000000</v>
      </c>
      <c r="D257" s="9">
        <v>17000000</v>
      </c>
      <c r="E257" s="10">
        <f>C257-D257</f>
        <v>0</v>
      </c>
      <c r="F257" s="11">
        <f t="shared" si="14"/>
        <v>0</v>
      </c>
      <c r="G257" s="380" t="s">
        <v>414</v>
      </c>
      <c r="H257" s="13"/>
      <c r="I257" s="104"/>
      <c r="K257" s="1"/>
      <c r="L257" s="1"/>
      <c r="M257" s="1"/>
      <c r="N257" s="1"/>
    </row>
    <row r="258" spans="1:14" ht="82.5" hidden="1" customHeight="1" x14ac:dyDescent="0.2">
      <c r="A258" s="164" t="s">
        <v>288</v>
      </c>
      <c r="B258" s="8">
        <v>1</v>
      </c>
      <c r="C258" s="205">
        <v>10000000</v>
      </c>
      <c r="D258" s="9">
        <v>10000000</v>
      </c>
      <c r="E258" s="10">
        <f>C258-D258</f>
        <v>0</v>
      </c>
      <c r="F258" s="11">
        <f t="shared" si="14"/>
        <v>0</v>
      </c>
      <c r="G258" s="380" t="s">
        <v>414</v>
      </c>
      <c r="H258" s="13"/>
      <c r="I258" s="104"/>
      <c r="K258" s="1"/>
      <c r="L258" s="1"/>
      <c r="M258" s="1"/>
      <c r="N258" s="1"/>
    </row>
    <row r="259" spans="1:14" ht="118.5" customHeight="1" x14ac:dyDescent="0.2">
      <c r="A259" s="32" t="s">
        <v>272</v>
      </c>
      <c r="B259" s="8">
        <v>4</v>
      </c>
      <c r="C259" s="205">
        <v>193010492</v>
      </c>
      <c r="D259" s="9">
        <f>13681094+22025490+20257020+14790840+33761674+33761674+33761674+20971026</f>
        <v>193010492</v>
      </c>
      <c r="E259" s="10">
        <f>C259-D259</f>
        <v>0</v>
      </c>
      <c r="F259" s="11">
        <f t="shared" si="14"/>
        <v>0</v>
      </c>
      <c r="G259" s="380" t="s">
        <v>445</v>
      </c>
      <c r="H259" s="13"/>
      <c r="I259" s="104"/>
      <c r="K259" s="1"/>
      <c r="L259" s="1"/>
      <c r="M259" s="1"/>
      <c r="N259" s="1"/>
    </row>
    <row r="260" spans="1:14" hidden="1" x14ac:dyDescent="0.2">
      <c r="A260" s="879" t="s">
        <v>419</v>
      </c>
      <c r="B260" s="880"/>
      <c r="C260" s="195">
        <f>SUM(C255:C259)</f>
        <v>244010492</v>
      </c>
      <c r="D260" s="195">
        <f>SUM(D255:D259)</f>
        <v>244010492</v>
      </c>
      <c r="E260" s="195">
        <f>SUM(E255:E259)</f>
        <v>0</v>
      </c>
      <c r="F260" s="18">
        <f t="shared" si="14"/>
        <v>0</v>
      </c>
      <c r="G260" s="379"/>
      <c r="H260" s="20"/>
      <c r="I260" s="105"/>
      <c r="K260" s="1"/>
      <c r="L260" s="1"/>
      <c r="M260" s="1"/>
      <c r="N260" s="1"/>
    </row>
    <row r="261" spans="1:14" hidden="1" x14ac:dyDescent="0.2">
      <c r="A261" s="879" t="s">
        <v>350</v>
      </c>
      <c r="B261" s="880"/>
      <c r="C261" s="195">
        <f>C260+C247+C239+C227+C211</f>
        <v>1612612615</v>
      </c>
      <c r="D261" s="195">
        <f>D260+D247+D239+D227+D211</f>
        <v>1423935010</v>
      </c>
      <c r="E261" s="17">
        <f>C261-D261</f>
        <v>188677605</v>
      </c>
      <c r="F261" s="18">
        <f t="shared" si="14"/>
        <v>0.11700119622343398</v>
      </c>
      <c r="G261" s="379"/>
      <c r="H261" s="20"/>
      <c r="I261" s="105"/>
      <c r="K261" s="1"/>
      <c r="L261" s="1"/>
      <c r="M261" s="1"/>
      <c r="N261" s="1"/>
    </row>
    <row r="262" spans="1:14" ht="12.75" hidden="1" x14ac:dyDescent="0.2">
      <c r="A262" s="883" t="s">
        <v>115</v>
      </c>
      <c r="B262" s="884"/>
      <c r="C262" s="884"/>
      <c r="D262" s="884"/>
      <c r="E262" s="884"/>
      <c r="F262" s="884"/>
      <c r="G262" s="884"/>
      <c r="H262" s="884"/>
      <c r="I262" s="885"/>
      <c r="K262" s="1"/>
      <c r="L262" s="1"/>
      <c r="M262" s="1"/>
      <c r="N262" s="1"/>
    </row>
    <row r="263" spans="1:14" ht="12.75" hidden="1" customHeight="1" x14ac:dyDescent="0.2">
      <c r="A263" s="2" t="s">
        <v>25</v>
      </c>
      <c r="B263" s="957" t="s">
        <v>43</v>
      </c>
      <c r="C263" s="958"/>
      <c r="D263" s="958"/>
      <c r="E263" s="958"/>
      <c r="F263" s="958"/>
      <c r="G263" s="958"/>
      <c r="H263" s="958"/>
      <c r="I263" s="959"/>
      <c r="K263" s="1"/>
      <c r="L263" s="1"/>
      <c r="M263" s="1"/>
      <c r="N263" s="1"/>
    </row>
    <row r="264" spans="1:14" ht="12.75" hidden="1" customHeight="1" x14ac:dyDescent="0.2">
      <c r="A264" s="2" t="s">
        <v>3</v>
      </c>
      <c r="B264" s="957" t="s">
        <v>116</v>
      </c>
      <c r="C264" s="958"/>
      <c r="D264" s="958"/>
      <c r="E264" s="958"/>
      <c r="F264" s="958"/>
      <c r="G264" s="958"/>
      <c r="H264" s="958"/>
      <c r="I264" s="959"/>
      <c r="K264" s="1"/>
      <c r="L264" s="1"/>
      <c r="M264" s="1"/>
      <c r="N264" s="1"/>
    </row>
    <row r="265" spans="1:14" ht="12.75" hidden="1" x14ac:dyDescent="0.2">
      <c r="A265" s="2" t="s">
        <v>5</v>
      </c>
      <c r="B265" s="960" t="s">
        <v>119</v>
      </c>
      <c r="C265" s="961"/>
      <c r="D265" s="961"/>
      <c r="E265" s="961"/>
      <c r="F265" s="961"/>
      <c r="G265" s="961"/>
      <c r="H265" s="961"/>
      <c r="I265" s="962"/>
      <c r="K265" s="1"/>
      <c r="L265" s="1"/>
      <c r="M265" s="1"/>
      <c r="N265" s="1"/>
    </row>
    <row r="266" spans="1:14" ht="12.75" hidden="1" x14ac:dyDescent="0.2">
      <c r="A266" s="2" t="s">
        <v>6</v>
      </c>
      <c r="B266" s="960" t="s">
        <v>117</v>
      </c>
      <c r="C266" s="961"/>
      <c r="D266" s="961"/>
      <c r="E266" s="961"/>
      <c r="F266" s="961"/>
      <c r="G266" s="961"/>
      <c r="H266" s="961"/>
      <c r="I266" s="962"/>
      <c r="K266" s="1"/>
      <c r="L266" s="1"/>
      <c r="M266" s="1"/>
      <c r="N266" s="1"/>
    </row>
    <row r="267" spans="1:14" ht="12.75" hidden="1" x14ac:dyDescent="0.2">
      <c r="A267" s="2" t="s">
        <v>8</v>
      </c>
      <c r="B267" s="960" t="s">
        <v>118</v>
      </c>
      <c r="C267" s="961"/>
      <c r="D267" s="961"/>
      <c r="E267" s="961"/>
      <c r="F267" s="961"/>
      <c r="G267" s="961"/>
      <c r="H267" s="961"/>
      <c r="I267" s="962"/>
      <c r="K267" s="1"/>
      <c r="L267" s="1"/>
      <c r="M267" s="1"/>
      <c r="N267" s="1"/>
    </row>
    <row r="268" spans="1:14" ht="38.25" hidden="1" x14ac:dyDescent="0.2">
      <c r="A268" s="296" t="s">
        <v>10</v>
      </c>
      <c r="B268" s="3" t="s">
        <v>11</v>
      </c>
      <c r="C268" s="193" t="s">
        <v>12</v>
      </c>
      <c r="D268" s="4" t="s">
        <v>13</v>
      </c>
      <c r="E268" s="5" t="s">
        <v>14</v>
      </c>
      <c r="F268" s="3" t="s">
        <v>15</v>
      </c>
      <c r="G268" s="377" t="s">
        <v>16</v>
      </c>
      <c r="H268" s="3" t="s">
        <v>17</v>
      </c>
      <c r="I268" s="103" t="s">
        <v>18</v>
      </c>
      <c r="K268" s="1"/>
      <c r="L268" s="1"/>
      <c r="M268" s="1"/>
      <c r="N268" s="1"/>
    </row>
    <row r="269" spans="1:14" ht="12.75" hidden="1" customHeight="1" x14ac:dyDescent="0.2">
      <c r="A269" s="165" t="s">
        <v>289</v>
      </c>
      <c r="B269" s="286">
        <v>1</v>
      </c>
      <c r="C269" s="212">
        <v>3500000</v>
      </c>
      <c r="D269" s="35">
        <v>0</v>
      </c>
      <c r="E269" s="28">
        <f>C269-D269</f>
        <v>3500000</v>
      </c>
      <c r="F269" s="38"/>
      <c r="G269" s="383"/>
      <c r="H269" s="38"/>
      <c r="I269" s="109"/>
      <c r="K269" s="1"/>
      <c r="L269" s="1"/>
      <c r="M269" s="1"/>
      <c r="N269" s="1"/>
    </row>
    <row r="270" spans="1:14" ht="24" hidden="1" customHeight="1" x14ac:dyDescent="0.2">
      <c r="A270" s="166" t="s">
        <v>120</v>
      </c>
      <c r="B270" s="286">
        <v>1</v>
      </c>
      <c r="C270" s="198">
        <v>5000000</v>
      </c>
      <c r="D270" s="35">
        <v>5000000</v>
      </c>
      <c r="E270" s="28">
        <f>C270-D270</f>
        <v>0</v>
      </c>
      <c r="F270" s="29">
        <f>E270/C270</f>
        <v>0</v>
      </c>
      <c r="G270" s="381" t="s">
        <v>416</v>
      </c>
      <c r="H270" s="30"/>
      <c r="I270" s="106" t="s">
        <v>208</v>
      </c>
      <c r="K270" s="1"/>
      <c r="L270" s="1"/>
      <c r="M270" s="1"/>
      <c r="N270" s="1"/>
    </row>
    <row r="271" spans="1:14" hidden="1" x14ac:dyDescent="0.2">
      <c r="A271" s="966" t="s">
        <v>121</v>
      </c>
      <c r="B271" s="967"/>
      <c r="C271" s="213">
        <f>SUM(C263:C270)</f>
        <v>8500000</v>
      </c>
      <c r="D271" s="43">
        <f>SUM(D263:D270)</f>
        <v>5000000</v>
      </c>
      <c r="E271" s="44">
        <f>SUM(E263:E270)</f>
        <v>3500000</v>
      </c>
      <c r="F271" s="45">
        <f>E271/C271</f>
        <v>0.41176470588235292</v>
      </c>
      <c r="G271" s="388"/>
      <c r="H271" s="47"/>
      <c r="I271" s="107"/>
      <c r="K271" s="1"/>
      <c r="L271" s="1"/>
      <c r="M271" s="1"/>
      <c r="N271" s="1"/>
    </row>
    <row r="272" spans="1:14" ht="12.75" customHeight="1" x14ac:dyDescent="0.2">
      <c r="A272" s="883" t="s">
        <v>202</v>
      </c>
      <c r="B272" s="884"/>
      <c r="C272" s="884"/>
      <c r="D272" s="884"/>
      <c r="E272" s="884"/>
      <c r="F272" s="884"/>
      <c r="G272" s="884"/>
      <c r="H272" s="884"/>
      <c r="I272" s="885"/>
      <c r="K272" s="1"/>
      <c r="L272" s="1"/>
      <c r="M272" s="1"/>
      <c r="N272" s="1"/>
    </row>
    <row r="273" spans="1:37" s="99" customFormat="1" ht="12.75" hidden="1" customHeight="1" x14ac:dyDescent="0.2">
      <c r="A273" s="102" t="s">
        <v>25</v>
      </c>
      <c r="B273" s="889" t="s">
        <v>43</v>
      </c>
      <c r="C273" s="890"/>
      <c r="D273" s="890"/>
      <c r="E273" s="890"/>
      <c r="F273" s="890"/>
      <c r="G273" s="890"/>
      <c r="H273" s="890"/>
      <c r="I273" s="891"/>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row>
    <row r="274" spans="1:37" s="99" customFormat="1" ht="12.75" hidden="1" customHeight="1" x14ac:dyDescent="0.2">
      <c r="A274" s="102" t="s">
        <v>3</v>
      </c>
      <c r="B274" s="892" t="s">
        <v>74</v>
      </c>
      <c r="C274" s="893"/>
      <c r="D274" s="893"/>
      <c r="E274" s="893"/>
      <c r="F274" s="893"/>
      <c r="G274" s="893"/>
      <c r="H274" s="893"/>
      <c r="I274" s="894"/>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row>
    <row r="275" spans="1:37" s="99" customFormat="1" ht="12.75" hidden="1" customHeight="1" x14ac:dyDescent="0.2">
      <c r="A275" s="102" t="s">
        <v>5</v>
      </c>
      <c r="B275" s="889" t="s">
        <v>204</v>
      </c>
      <c r="C275" s="890"/>
      <c r="D275" s="890"/>
      <c r="E275" s="890"/>
      <c r="F275" s="890"/>
      <c r="G275" s="890"/>
      <c r="H275" s="890"/>
      <c r="I275" s="891"/>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t="s">
        <v>205</v>
      </c>
      <c r="AG275" s="100"/>
      <c r="AH275" s="100"/>
      <c r="AI275" s="100" t="s">
        <v>75</v>
      </c>
      <c r="AJ275" s="100"/>
      <c r="AK275" s="100"/>
    </row>
    <row r="276" spans="1:37" s="99" customFormat="1" ht="12.75" hidden="1" x14ac:dyDescent="0.2">
      <c r="A276" s="102" t="s">
        <v>6</v>
      </c>
      <c r="B276" s="971" t="s">
        <v>206</v>
      </c>
      <c r="C276" s="972"/>
      <c r="D276" s="972"/>
      <c r="E276" s="972"/>
      <c r="F276" s="972"/>
      <c r="G276" s="972"/>
      <c r="H276" s="972"/>
      <c r="I276" s="973"/>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row>
    <row r="277" spans="1:37" s="99" customFormat="1" ht="12.75" hidden="1" x14ac:dyDescent="0.2">
      <c r="A277" s="102" t="s">
        <v>8</v>
      </c>
      <c r="B277" s="971" t="s">
        <v>207</v>
      </c>
      <c r="C277" s="972"/>
      <c r="D277" s="972"/>
      <c r="E277" s="972"/>
      <c r="F277" s="972"/>
      <c r="G277" s="972"/>
      <c r="H277" s="972"/>
      <c r="I277" s="973"/>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row>
    <row r="278" spans="1:37" ht="38.25" hidden="1" x14ac:dyDescent="0.2">
      <c r="A278" s="369" t="s">
        <v>10</v>
      </c>
      <c r="B278" s="371" t="s">
        <v>11</v>
      </c>
      <c r="C278" s="373" t="s">
        <v>12</v>
      </c>
      <c r="D278" s="374" t="s">
        <v>13</v>
      </c>
      <c r="E278" s="375" t="s">
        <v>14</v>
      </c>
      <c r="F278" s="371" t="s">
        <v>15</v>
      </c>
      <c r="G278" s="389" t="s">
        <v>16</v>
      </c>
      <c r="H278" s="371" t="s">
        <v>17</v>
      </c>
      <c r="I278" s="372" t="s">
        <v>18</v>
      </c>
      <c r="K278" s="1"/>
      <c r="L278" s="1"/>
      <c r="M278" s="1"/>
      <c r="N278" s="1"/>
    </row>
    <row r="279" spans="1:37" ht="191.25" customHeight="1" x14ac:dyDescent="0.2">
      <c r="A279" s="316" t="s">
        <v>71</v>
      </c>
      <c r="B279" s="317">
        <v>6</v>
      </c>
      <c r="C279" s="318">
        <f>275559565+32457648+15827928</f>
        <v>323845141</v>
      </c>
      <c r="D279" s="35">
        <f>22025490+22025490+20900100+22025490+19774910+32327296+33761674+33761674+15827188+33761674+33761674+33761674</f>
        <v>323714334</v>
      </c>
      <c r="E279" s="28">
        <f>C279-D279</f>
        <v>130807</v>
      </c>
      <c r="F279" s="29">
        <f>E279/C279</f>
        <v>4.0391836541404214E-4</v>
      </c>
      <c r="G279" s="384" t="s">
        <v>463</v>
      </c>
      <c r="H279" s="30"/>
      <c r="I279" s="106"/>
      <c r="K279" s="1"/>
      <c r="L279" s="1"/>
      <c r="M279" s="1"/>
      <c r="N279" s="1"/>
    </row>
    <row r="280" spans="1:37" ht="28.5" hidden="1" customHeight="1" x14ac:dyDescent="0.2">
      <c r="A280" s="30" t="s">
        <v>439</v>
      </c>
      <c r="B280" s="286">
        <v>1</v>
      </c>
      <c r="C280" s="198">
        <v>10000000</v>
      </c>
      <c r="D280" s="35">
        <v>0</v>
      </c>
      <c r="E280" s="28">
        <f>C280-D280</f>
        <v>10000000</v>
      </c>
      <c r="F280" s="29">
        <f>E280/C280</f>
        <v>1</v>
      </c>
      <c r="G280" s="384"/>
      <c r="H280" s="30"/>
      <c r="I280" s="106"/>
      <c r="K280" s="1"/>
      <c r="L280" s="1"/>
      <c r="M280" s="1"/>
      <c r="N280" s="1"/>
    </row>
    <row r="281" spans="1:37" ht="12.75" hidden="1" customHeight="1" x14ac:dyDescent="0.2">
      <c r="A281" s="966" t="s">
        <v>203</v>
      </c>
      <c r="B281" s="967"/>
      <c r="C281" s="213">
        <f>SUM(C278:C280)</f>
        <v>333845141</v>
      </c>
      <c r="D281" s="213">
        <f>SUM(D278:D280)</f>
        <v>323714334</v>
      </c>
      <c r="E281" s="213">
        <f>SUM(E278:E280)</f>
        <v>10130807</v>
      </c>
      <c r="F281" s="45">
        <f>E281/C281</f>
        <v>3.0345827318780716E-2</v>
      </c>
      <c r="G281" s="388"/>
      <c r="H281" s="47"/>
      <c r="I281" s="107"/>
      <c r="K281" s="1"/>
      <c r="L281" s="1"/>
      <c r="M281" s="1"/>
      <c r="N281" s="1"/>
    </row>
    <row r="282" spans="1:37" ht="12.75" customHeight="1" x14ac:dyDescent="0.2">
      <c r="A282" s="883" t="s">
        <v>122</v>
      </c>
      <c r="B282" s="884"/>
      <c r="C282" s="884"/>
      <c r="D282" s="884"/>
      <c r="E282" s="884"/>
      <c r="F282" s="884"/>
      <c r="G282" s="884"/>
      <c r="H282" s="884"/>
      <c r="I282" s="885"/>
      <c r="K282" s="1"/>
      <c r="L282" s="1"/>
      <c r="M282" s="1"/>
      <c r="N282" s="1"/>
    </row>
    <row r="283" spans="1:37" ht="12.75" hidden="1" customHeight="1" x14ac:dyDescent="0.2">
      <c r="A283" s="21" t="s">
        <v>62</v>
      </c>
      <c r="B283" s="839" t="s">
        <v>123</v>
      </c>
      <c r="C283" s="840"/>
      <c r="D283" s="840"/>
      <c r="E283" s="840"/>
      <c r="F283" s="840"/>
      <c r="G283" s="840"/>
      <c r="H283" s="840"/>
      <c r="I283" s="841"/>
      <c r="K283" s="1"/>
      <c r="L283" s="1"/>
      <c r="M283" s="1"/>
      <c r="N283" s="1"/>
    </row>
    <row r="284" spans="1:37" ht="12.75" hidden="1" customHeight="1" x14ac:dyDescent="0.2">
      <c r="A284" s="21" t="s">
        <v>3</v>
      </c>
      <c r="B284" s="839" t="s">
        <v>126</v>
      </c>
      <c r="C284" s="840"/>
      <c r="D284" s="840"/>
      <c r="E284" s="840"/>
      <c r="F284" s="840"/>
      <c r="G284" s="840"/>
      <c r="H284" s="840"/>
      <c r="I284" s="841"/>
      <c r="K284" s="1"/>
      <c r="L284" s="1"/>
      <c r="M284" s="1"/>
      <c r="N284" s="1"/>
    </row>
    <row r="285" spans="1:37" ht="12.75" hidden="1" x14ac:dyDescent="0.2">
      <c r="A285" s="21" t="s">
        <v>5</v>
      </c>
      <c r="B285" s="842" t="s">
        <v>127</v>
      </c>
      <c r="C285" s="843"/>
      <c r="D285" s="843"/>
      <c r="E285" s="843"/>
      <c r="F285" s="843"/>
      <c r="G285" s="843"/>
      <c r="H285" s="843"/>
      <c r="I285" s="844"/>
      <c r="K285" s="1"/>
      <c r="L285" s="1"/>
      <c r="M285" s="1"/>
      <c r="N285" s="1"/>
    </row>
    <row r="286" spans="1:37" ht="12.75" hidden="1" x14ac:dyDescent="0.2">
      <c r="A286" s="21" t="s">
        <v>6</v>
      </c>
      <c r="B286" s="842" t="s">
        <v>128</v>
      </c>
      <c r="C286" s="843"/>
      <c r="D286" s="843"/>
      <c r="E286" s="843"/>
      <c r="F286" s="843"/>
      <c r="G286" s="843"/>
      <c r="H286" s="843"/>
      <c r="I286" s="844"/>
      <c r="K286" s="1"/>
      <c r="L286" s="1"/>
      <c r="M286" s="1"/>
      <c r="N286" s="1"/>
    </row>
    <row r="287" spans="1:37" ht="12.75" hidden="1" x14ac:dyDescent="0.2">
      <c r="A287" s="21" t="s">
        <v>8</v>
      </c>
      <c r="B287" s="842" t="s">
        <v>125</v>
      </c>
      <c r="C287" s="843"/>
      <c r="D287" s="843"/>
      <c r="E287" s="843"/>
      <c r="F287" s="843"/>
      <c r="G287" s="843"/>
      <c r="H287" s="843"/>
      <c r="I287" s="844"/>
      <c r="K287" s="1"/>
      <c r="L287" s="1"/>
      <c r="M287" s="1"/>
      <c r="N287" s="1"/>
    </row>
    <row r="288" spans="1:37" ht="38.25" hidden="1" x14ac:dyDescent="0.2">
      <c r="A288" s="296" t="s">
        <v>10</v>
      </c>
      <c r="B288" s="3" t="s">
        <v>11</v>
      </c>
      <c r="C288" s="193" t="s">
        <v>12</v>
      </c>
      <c r="D288" s="4" t="s">
        <v>13</v>
      </c>
      <c r="E288" s="5" t="s">
        <v>14</v>
      </c>
      <c r="F288" s="3" t="s">
        <v>15</v>
      </c>
      <c r="G288" s="377" t="s">
        <v>16</v>
      </c>
      <c r="H288" s="3" t="s">
        <v>17</v>
      </c>
      <c r="I288" s="103" t="s">
        <v>18</v>
      </c>
    </row>
    <row r="289" spans="1:14" s="27" customFormat="1" ht="43.5" hidden="1" customHeight="1" x14ac:dyDescent="0.2">
      <c r="A289" s="167" t="s">
        <v>290</v>
      </c>
      <c r="B289" s="286">
        <v>1</v>
      </c>
      <c r="C289" s="154">
        <v>15000000</v>
      </c>
      <c r="D289" s="23">
        <v>15000000</v>
      </c>
      <c r="E289" s="28">
        <f>C289-D289</f>
        <v>0</v>
      </c>
      <c r="F289" s="29">
        <f t="shared" ref="F289:F294" si="15">E289/C289</f>
        <v>0</v>
      </c>
      <c r="G289" s="384" t="s">
        <v>421</v>
      </c>
      <c r="H289" s="38"/>
      <c r="I289" s="109"/>
      <c r="K289" s="31"/>
      <c r="L289" s="31"/>
      <c r="M289" s="31"/>
      <c r="N289" s="31"/>
    </row>
    <row r="290" spans="1:14" s="27" customFormat="1" ht="48" hidden="1" customHeight="1" x14ac:dyDescent="0.2">
      <c r="A290" s="118" t="s">
        <v>291</v>
      </c>
      <c r="B290" s="286">
        <v>1</v>
      </c>
      <c r="C290" s="154">
        <v>10000000</v>
      </c>
      <c r="D290" s="23">
        <v>10000000</v>
      </c>
      <c r="E290" s="28">
        <f>C290-D290</f>
        <v>0</v>
      </c>
      <c r="F290" s="29">
        <f t="shared" si="15"/>
        <v>0</v>
      </c>
      <c r="G290" s="385" t="s">
        <v>416</v>
      </c>
      <c r="H290" s="38"/>
      <c r="I290" s="109"/>
      <c r="K290" s="31"/>
      <c r="L290" s="31"/>
      <c r="M290" s="31"/>
      <c r="N290" s="31"/>
    </row>
    <row r="291" spans="1:14" s="27" customFormat="1" ht="36.75" hidden="1" customHeight="1" x14ac:dyDescent="0.2">
      <c r="A291" s="168" t="s">
        <v>292</v>
      </c>
      <c r="B291" s="286">
        <v>1</v>
      </c>
      <c r="C291" s="180">
        <v>15000000</v>
      </c>
      <c r="D291" s="23">
        <v>0</v>
      </c>
      <c r="E291" s="28">
        <f>C291-D291</f>
        <v>15000000</v>
      </c>
      <c r="F291" s="29">
        <f t="shared" si="15"/>
        <v>1</v>
      </c>
      <c r="G291" s="385"/>
      <c r="H291" s="38"/>
      <c r="I291" s="109"/>
      <c r="K291" s="31"/>
      <c r="L291" s="31"/>
      <c r="M291" s="31"/>
      <c r="N291" s="31"/>
    </row>
    <row r="292" spans="1:14" s="27" customFormat="1" ht="47.25" hidden="1" customHeight="1" x14ac:dyDescent="0.2">
      <c r="A292" s="118" t="s">
        <v>293</v>
      </c>
      <c r="B292" s="286">
        <v>2</v>
      </c>
      <c r="C292" s="198">
        <v>10000000</v>
      </c>
      <c r="D292" s="23">
        <v>10000000</v>
      </c>
      <c r="E292" s="28">
        <f>C292-D292</f>
        <v>0</v>
      </c>
      <c r="F292" s="29">
        <f t="shared" si="15"/>
        <v>0</v>
      </c>
      <c r="G292" s="385" t="s">
        <v>416</v>
      </c>
      <c r="H292" s="30"/>
      <c r="I292" s="106"/>
    </row>
    <row r="293" spans="1:14" s="27" customFormat="1" ht="192" customHeight="1" x14ac:dyDescent="0.2">
      <c r="A293" s="32" t="s">
        <v>200</v>
      </c>
      <c r="B293" s="286">
        <v>4</v>
      </c>
      <c r="C293" s="197">
        <v>191009314</v>
      </c>
      <c r="D293" s="23">
        <f>21382392+20900100+21382392+9571736+33761674+33761674+33761674+15827188</f>
        <v>190348830</v>
      </c>
      <c r="E293" s="28">
        <f>C293-D293</f>
        <v>660484</v>
      </c>
      <c r="F293" s="29">
        <f t="shared" si="15"/>
        <v>3.4578627930154232E-3</v>
      </c>
      <c r="G293" s="381" t="s">
        <v>442</v>
      </c>
      <c r="H293" s="30"/>
      <c r="I293" s="106"/>
    </row>
    <row r="294" spans="1:14" hidden="1" x14ac:dyDescent="0.2">
      <c r="A294" s="966" t="s">
        <v>129</v>
      </c>
      <c r="B294" s="967"/>
      <c r="C294" s="213">
        <f>SUM(C283:C293)</f>
        <v>241009314</v>
      </c>
      <c r="D294" s="213">
        <f>SUM(D289:D293)</f>
        <v>225348830</v>
      </c>
      <c r="E294" s="44">
        <f>SUM(E289:E293)</f>
        <v>15660484</v>
      </c>
      <c r="F294" s="45">
        <f t="shared" si="15"/>
        <v>6.4978750157348691E-2</v>
      </c>
      <c r="G294" s="388"/>
      <c r="H294" s="47"/>
      <c r="I294" s="107"/>
      <c r="K294" s="1"/>
      <c r="L294" s="1"/>
      <c r="M294" s="1"/>
      <c r="N294" s="1"/>
    </row>
    <row r="295" spans="1:14" ht="12.75" x14ac:dyDescent="0.2">
      <c r="A295" s="968" t="s">
        <v>130</v>
      </c>
      <c r="B295" s="969"/>
      <c r="C295" s="969"/>
      <c r="D295" s="969"/>
      <c r="E295" s="969"/>
      <c r="F295" s="969"/>
      <c r="G295" s="969"/>
      <c r="H295" s="969"/>
      <c r="I295" s="970"/>
      <c r="K295" s="1"/>
      <c r="L295" s="1"/>
      <c r="M295" s="1"/>
      <c r="N295" s="1"/>
    </row>
    <row r="296" spans="1:14" ht="12.75" hidden="1" customHeight="1" x14ac:dyDescent="0.2">
      <c r="A296" s="2" t="s">
        <v>25</v>
      </c>
      <c r="B296" s="957" t="s">
        <v>131</v>
      </c>
      <c r="C296" s="958"/>
      <c r="D296" s="958"/>
      <c r="E296" s="958"/>
      <c r="F296" s="958"/>
      <c r="G296" s="958"/>
      <c r="H296" s="958"/>
      <c r="I296" s="959"/>
      <c r="K296" s="1"/>
      <c r="L296" s="1"/>
      <c r="M296" s="1"/>
      <c r="N296" s="1"/>
    </row>
    <row r="297" spans="1:14" ht="12.75" hidden="1" customHeight="1" x14ac:dyDescent="0.2">
      <c r="A297" s="2" t="s">
        <v>3</v>
      </c>
      <c r="B297" s="957" t="s">
        <v>27</v>
      </c>
      <c r="C297" s="958"/>
      <c r="D297" s="958"/>
      <c r="E297" s="958"/>
      <c r="F297" s="958"/>
      <c r="G297" s="958"/>
      <c r="H297" s="958"/>
      <c r="I297" s="959"/>
      <c r="K297" s="1"/>
      <c r="L297" s="1"/>
      <c r="M297" s="1"/>
      <c r="N297" s="1"/>
    </row>
    <row r="298" spans="1:14" ht="12.75" hidden="1" x14ac:dyDescent="0.2">
      <c r="A298" s="2" t="s">
        <v>5</v>
      </c>
      <c r="B298" s="960" t="s">
        <v>132</v>
      </c>
      <c r="C298" s="961"/>
      <c r="D298" s="961"/>
      <c r="E298" s="961"/>
      <c r="F298" s="961"/>
      <c r="G298" s="961"/>
      <c r="H298" s="961"/>
      <c r="I298" s="962"/>
      <c r="K298" s="1"/>
      <c r="L298" s="1"/>
      <c r="M298" s="1"/>
      <c r="N298" s="1"/>
    </row>
    <row r="299" spans="1:14" ht="12.75" hidden="1" x14ac:dyDescent="0.2">
      <c r="A299" s="2" t="s">
        <v>6</v>
      </c>
      <c r="B299" s="960" t="s">
        <v>133</v>
      </c>
      <c r="C299" s="961"/>
      <c r="D299" s="961"/>
      <c r="E299" s="961"/>
      <c r="F299" s="961"/>
      <c r="G299" s="961"/>
      <c r="H299" s="961"/>
      <c r="I299" s="962"/>
      <c r="K299" s="1"/>
      <c r="L299" s="1"/>
      <c r="M299" s="1"/>
      <c r="N299" s="1"/>
    </row>
    <row r="300" spans="1:14" ht="12.75" hidden="1" x14ac:dyDescent="0.2">
      <c r="A300" s="2" t="s">
        <v>8</v>
      </c>
      <c r="B300" s="960" t="s">
        <v>134</v>
      </c>
      <c r="C300" s="961"/>
      <c r="D300" s="961"/>
      <c r="E300" s="961"/>
      <c r="F300" s="961"/>
      <c r="G300" s="961"/>
      <c r="H300" s="961"/>
      <c r="I300" s="962"/>
      <c r="K300" s="1"/>
      <c r="L300" s="1"/>
      <c r="M300" s="1"/>
      <c r="N300" s="1"/>
    </row>
    <row r="301" spans="1:14" ht="38.25" hidden="1" x14ac:dyDescent="0.2">
      <c r="A301" s="296" t="s">
        <v>10</v>
      </c>
      <c r="B301" s="3" t="s">
        <v>11</v>
      </c>
      <c r="C301" s="193" t="s">
        <v>12</v>
      </c>
      <c r="D301" s="4" t="s">
        <v>13</v>
      </c>
      <c r="E301" s="5" t="s">
        <v>14</v>
      </c>
      <c r="F301" s="3" t="s">
        <v>15</v>
      </c>
      <c r="G301" s="377" t="s">
        <v>16</v>
      </c>
      <c r="H301" s="3" t="s">
        <v>17</v>
      </c>
      <c r="I301" s="103" t="s">
        <v>18</v>
      </c>
      <c r="K301" s="1"/>
      <c r="L301" s="1"/>
      <c r="M301" s="1"/>
      <c r="N301" s="1"/>
    </row>
    <row r="302" spans="1:14" ht="15" hidden="1" customHeight="1" x14ac:dyDescent="0.2">
      <c r="A302" s="897" t="s">
        <v>135</v>
      </c>
      <c r="B302" s="898"/>
      <c r="C302" s="898"/>
      <c r="D302" s="898"/>
      <c r="E302" s="898"/>
      <c r="F302" s="898"/>
      <c r="G302" s="898"/>
      <c r="H302" s="898"/>
      <c r="I302" s="899"/>
      <c r="K302" s="1"/>
      <c r="L302" s="1"/>
      <c r="M302" s="1"/>
      <c r="N302" s="1"/>
    </row>
    <row r="303" spans="1:14" s="27" customFormat="1" ht="44.25" hidden="1" customHeight="1" x14ac:dyDescent="0.2">
      <c r="A303" s="169" t="s">
        <v>136</v>
      </c>
      <c r="B303" s="171">
        <v>300</v>
      </c>
      <c r="C303" s="214">
        <v>18300000</v>
      </c>
      <c r="D303" s="33">
        <v>0</v>
      </c>
      <c r="E303" s="28">
        <f>C303-D303</f>
        <v>18300000</v>
      </c>
      <c r="F303" s="115">
        <f>E303/C303</f>
        <v>1</v>
      </c>
      <c r="G303" s="382"/>
      <c r="H303" s="30"/>
      <c r="I303" s="106"/>
    </row>
    <row r="304" spans="1:14" s="27" customFormat="1" ht="42" hidden="1" customHeight="1" x14ac:dyDescent="0.2">
      <c r="A304" s="170" t="s">
        <v>199</v>
      </c>
      <c r="B304" s="171">
        <v>100</v>
      </c>
      <c r="C304" s="214">
        <v>14520000</v>
      </c>
      <c r="D304" s="33">
        <v>0</v>
      </c>
      <c r="E304" s="28">
        <f t="shared" ref="E304:E310" si="16">C304-D304</f>
        <v>14520000</v>
      </c>
      <c r="F304" s="115">
        <f t="shared" ref="F304:F310" si="17">E304/C304</f>
        <v>1</v>
      </c>
      <c r="G304" s="382"/>
      <c r="H304" s="30"/>
      <c r="I304" s="106"/>
    </row>
    <row r="305" spans="1:14" s="27" customFormat="1" ht="45.75" hidden="1" customHeight="1" x14ac:dyDescent="0.2">
      <c r="A305" s="169" t="s">
        <v>294</v>
      </c>
      <c r="B305" s="171">
        <v>1</v>
      </c>
      <c r="C305" s="214">
        <v>16380000</v>
      </c>
      <c r="D305" s="33">
        <v>0</v>
      </c>
      <c r="E305" s="28">
        <f t="shared" si="16"/>
        <v>16380000</v>
      </c>
      <c r="F305" s="115">
        <f t="shared" si="17"/>
        <v>1</v>
      </c>
      <c r="G305" s="382"/>
      <c r="H305" s="30"/>
      <c r="I305" s="106"/>
    </row>
    <row r="306" spans="1:14" s="27" customFormat="1" ht="36.75" hidden="1" customHeight="1" x14ac:dyDescent="0.2">
      <c r="A306" s="169" t="s">
        <v>295</v>
      </c>
      <c r="B306" s="171">
        <v>1</v>
      </c>
      <c r="C306" s="214">
        <v>31450000</v>
      </c>
      <c r="D306" s="33">
        <v>0</v>
      </c>
      <c r="E306" s="28">
        <f t="shared" si="16"/>
        <v>31450000</v>
      </c>
      <c r="F306" s="115">
        <f t="shared" si="17"/>
        <v>1</v>
      </c>
      <c r="G306" s="382"/>
      <c r="H306" s="30"/>
      <c r="I306" s="106"/>
    </row>
    <row r="307" spans="1:14" s="27" customFormat="1" ht="41.25" hidden="1" customHeight="1" x14ac:dyDescent="0.2">
      <c r="A307" s="169" t="s">
        <v>296</v>
      </c>
      <c r="B307" s="171">
        <v>1</v>
      </c>
      <c r="C307" s="215">
        <v>1780000</v>
      </c>
      <c r="D307" s="33">
        <v>0</v>
      </c>
      <c r="E307" s="28">
        <f t="shared" si="16"/>
        <v>1780000</v>
      </c>
      <c r="F307" s="115">
        <f t="shared" si="17"/>
        <v>1</v>
      </c>
      <c r="G307" s="382"/>
      <c r="H307" s="30"/>
      <c r="I307" s="106"/>
    </row>
    <row r="308" spans="1:14" s="27" customFormat="1" ht="49.5" hidden="1" customHeight="1" x14ac:dyDescent="0.2">
      <c r="A308" s="169" t="s">
        <v>297</v>
      </c>
      <c r="B308" s="171">
        <v>1</v>
      </c>
      <c r="C308" s="214">
        <v>1450000</v>
      </c>
      <c r="D308" s="33">
        <v>0</v>
      </c>
      <c r="E308" s="28">
        <f t="shared" si="16"/>
        <v>1450000</v>
      </c>
      <c r="F308" s="115">
        <f t="shared" si="17"/>
        <v>1</v>
      </c>
      <c r="G308" s="382"/>
      <c r="H308" s="30"/>
      <c r="I308" s="106"/>
    </row>
    <row r="309" spans="1:14" s="27" customFormat="1" ht="36.75" hidden="1" customHeight="1" x14ac:dyDescent="0.2">
      <c r="A309" s="169" t="s">
        <v>298</v>
      </c>
      <c r="B309" s="171">
        <v>1</v>
      </c>
      <c r="C309" s="214">
        <v>1690000</v>
      </c>
      <c r="D309" s="33">
        <v>0</v>
      </c>
      <c r="E309" s="28">
        <f t="shared" si="16"/>
        <v>1690000</v>
      </c>
      <c r="F309" s="115">
        <f t="shared" si="17"/>
        <v>1</v>
      </c>
      <c r="G309" s="382"/>
      <c r="H309" s="30"/>
      <c r="I309" s="106"/>
    </row>
    <row r="310" spans="1:14" s="27" customFormat="1" ht="36.75" hidden="1" customHeight="1" x14ac:dyDescent="0.2">
      <c r="A310" s="169" t="s">
        <v>299</v>
      </c>
      <c r="B310" s="171">
        <v>12</v>
      </c>
      <c r="C310" s="214">
        <f>1115000*12</f>
        <v>13380000</v>
      </c>
      <c r="D310" s="33">
        <v>0</v>
      </c>
      <c r="E310" s="28">
        <f t="shared" si="16"/>
        <v>13380000</v>
      </c>
      <c r="F310" s="115">
        <f t="shared" si="17"/>
        <v>1</v>
      </c>
      <c r="G310" s="382"/>
      <c r="H310" s="30"/>
      <c r="I310" s="106"/>
    </row>
    <row r="311" spans="1:14" ht="15" hidden="1" customHeight="1" x14ac:dyDescent="0.2">
      <c r="A311" s="895" t="s">
        <v>137</v>
      </c>
      <c r="B311" s="863"/>
      <c r="C311" s="863"/>
      <c r="D311" s="863"/>
      <c r="E311" s="863"/>
      <c r="F311" s="863"/>
      <c r="G311" s="863"/>
      <c r="H311" s="863"/>
      <c r="I311" s="896"/>
      <c r="K311" s="1"/>
      <c r="L311" s="1"/>
      <c r="M311" s="1"/>
      <c r="N311" s="1"/>
    </row>
    <row r="312" spans="1:14" ht="54" hidden="1" customHeight="1" x14ac:dyDescent="0.2">
      <c r="A312" s="172" t="s">
        <v>138</v>
      </c>
      <c r="B312" s="171">
        <v>20</v>
      </c>
      <c r="C312" s="214">
        <v>116400000</v>
      </c>
      <c r="D312" s="33">
        <v>0</v>
      </c>
      <c r="E312" s="28">
        <f t="shared" ref="E312:E323" si="18">C312-D312</f>
        <v>116400000</v>
      </c>
      <c r="F312" s="29">
        <f t="shared" ref="F312:F323" si="19">E312/C312</f>
        <v>1</v>
      </c>
      <c r="G312" s="382"/>
      <c r="H312" s="30"/>
      <c r="I312" s="106"/>
      <c r="K312" s="1"/>
      <c r="L312" s="1"/>
      <c r="M312" s="1"/>
      <c r="N312" s="1"/>
    </row>
    <row r="313" spans="1:14" ht="86.25" hidden="1" customHeight="1" x14ac:dyDescent="0.2">
      <c r="A313" s="173" t="s">
        <v>300</v>
      </c>
      <c r="B313" s="171">
        <v>1</v>
      </c>
      <c r="C313" s="214">
        <v>2300000</v>
      </c>
      <c r="D313" s="33">
        <v>0</v>
      </c>
      <c r="E313" s="28">
        <f t="shared" si="18"/>
        <v>2300000</v>
      </c>
      <c r="F313" s="29">
        <f t="shared" si="19"/>
        <v>1</v>
      </c>
      <c r="G313" s="382"/>
      <c r="H313" s="30"/>
      <c r="I313" s="106"/>
      <c r="K313" s="1"/>
      <c r="L313" s="1"/>
      <c r="M313" s="1"/>
      <c r="N313" s="1"/>
    </row>
    <row r="314" spans="1:14" ht="25.5" hidden="1" customHeight="1" x14ac:dyDescent="0.2">
      <c r="A314" s="172" t="s">
        <v>301</v>
      </c>
      <c r="B314" s="171">
        <v>30</v>
      </c>
      <c r="C314" s="214">
        <v>7740000</v>
      </c>
      <c r="D314" s="33">
        <v>0</v>
      </c>
      <c r="E314" s="10">
        <f t="shared" si="18"/>
        <v>7740000</v>
      </c>
      <c r="F314" s="11">
        <f t="shared" si="19"/>
        <v>1</v>
      </c>
      <c r="G314" s="390"/>
      <c r="H314" s="13"/>
      <c r="I314" s="106"/>
      <c r="K314" s="1"/>
      <c r="L314" s="1"/>
      <c r="M314" s="1"/>
      <c r="N314" s="1"/>
    </row>
    <row r="315" spans="1:14" ht="105" hidden="1" customHeight="1" x14ac:dyDescent="0.2">
      <c r="A315" s="174" t="s">
        <v>302</v>
      </c>
      <c r="B315" s="171">
        <v>1</v>
      </c>
      <c r="C315" s="216">
        <v>4500000</v>
      </c>
      <c r="D315" s="33">
        <v>0</v>
      </c>
      <c r="E315" s="10">
        <f t="shared" si="18"/>
        <v>4500000</v>
      </c>
      <c r="F315" s="11">
        <f t="shared" si="19"/>
        <v>1</v>
      </c>
      <c r="G315" s="390"/>
      <c r="H315" s="13"/>
      <c r="I315" s="106"/>
      <c r="K315" s="1"/>
      <c r="L315" s="1"/>
      <c r="M315" s="1"/>
      <c r="N315" s="1"/>
    </row>
    <row r="316" spans="1:14" ht="150" hidden="1" customHeight="1" x14ac:dyDescent="0.2">
      <c r="A316" s="175" t="s">
        <v>303</v>
      </c>
      <c r="B316" s="171">
        <v>2</v>
      </c>
      <c r="C316" s="216">
        <v>4600000</v>
      </c>
      <c r="D316" s="33">
        <v>0</v>
      </c>
      <c r="E316" s="10">
        <f t="shared" si="18"/>
        <v>4600000</v>
      </c>
      <c r="F316" s="11">
        <f t="shared" si="19"/>
        <v>1</v>
      </c>
      <c r="G316" s="390"/>
      <c r="H316" s="13"/>
      <c r="I316" s="106"/>
      <c r="K316" s="1"/>
      <c r="L316" s="1"/>
      <c r="M316" s="1"/>
      <c r="N316" s="1"/>
    </row>
    <row r="317" spans="1:14" ht="162" hidden="1" customHeight="1" x14ac:dyDescent="0.2">
      <c r="A317" s="175" t="s">
        <v>304</v>
      </c>
      <c r="B317" s="171">
        <v>2</v>
      </c>
      <c r="C317" s="216">
        <v>4500000</v>
      </c>
      <c r="D317" s="33">
        <v>0</v>
      </c>
      <c r="E317" s="10">
        <f t="shared" si="18"/>
        <v>4500000</v>
      </c>
      <c r="F317" s="11">
        <f t="shared" si="19"/>
        <v>1</v>
      </c>
      <c r="G317" s="390"/>
      <c r="H317" s="13"/>
      <c r="I317" s="106"/>
      <c r="K317" s="1"/>
      <c r="L317" s="1"/>
      <c r="M317" s="1"/>
      <c r="N317" s="1"/>
    </row>
    <row r="318" spans="1:14" ht="36.75" hidden="1" customHeight="1" x14ac:dyDescent="0.2">
      <c r="A318" s="175" t="s">
        <v>305</v>
      </c>
      <c r="B318" s="171">
        <v>3</v>
      </c>
      <c r="C318" s="216">
        <v>3500000</v>
      </c>
      <c r="D318" s="33">
        <v>0</v>
      </c>
      <c r="E318" s="10">
        <f t="shared" si="18"/>
        <v>3500000</v>
      </c>
      <c r="F318" s="11">
        <f t="shared" si="19"/>
        <v>1</v>
      </c>
      <c r="G318" s="390"/>
      <c r="H318" s="13"/>
      <c r="I318" s="106"/>
      <c r="K318" s="1"/>
      <c r="L318" s="1"/>
      <c r="M318" s="1"/>
      <c r="N318" s="1"/>
    </row>
    <row r="319" spans="1:14" ht="48" hidden="1" customHeight="1" x14ac:dyDescent="0.2">
      <c r="A319" s="173" t="s">
        <v>306</v>
      </c>
      <c r="B319" s="171">
        <v>2</v>
      </c>
      <c r="C319" s="214">
        <v>6760000</v>
      </c>
      <c r="D319" s="33">
        <v>0</v>
      </c>
      <c r="E319" s="10">
        <f t="shared" si="18"/>
        <v>6760000</v>
      </c>
      <c r="F319" s="11">
        <f t="shared" si="19"/>
        <v>1</v>
      </c>
      <c r="G319" s="390"/>
      <c r="H319" s="13"/>
      <c r="I319" s="106"/>
      <c r="K319" s="1"/>
      <c r="L319" s="1"/>
      <c r="M319" s="1"/>
      <c r="N319" s="1"/>
    </row>
    <row r="320" spans="1:14" ht="39" hidden="1" customHeight="1" x14ac:dyDescent="0.2">
      <c r="A320" s="173" t="s">
        <v>307</v>
      </c>
      <c r="B320" s="171">
        <v>3</v>
      </c>
      <c r="C320" s="214">
        <v>3000000</v>
      </c>
      <c r="D320" s="33">
        <v>0</v>
      </c>
      <c r="E320" s="10">
        <f t="shared" si="18"/>
        <v>3000000</v>
      </c>
      <c r="F320" s="11">
        <f t="shared" si="19"/>
        <v>1</v>
      </c>
      <c r="G320" s="390"/>
      <c r="H320" s="13"/>
      <c r="I320" s="106"/>
      <c r="K320" s="1"/>
      <c r="L320" s="1"/>
      <c r="M320" s="1"/>
      <c r="N320" s="1"/>
    </row>
    <row r="321" spans="1:14" ht="39" hidden="1" customHeight="1" x14ac:dyDescent="0.2">
      <c r="A321" s="173" t="s">
        <v>308</v>
      </c>
      <c r="B321" s="171">
        <v>8</v>
      </c>
      <c r="C321" s="214">
        <v>1856000</v>
      </c>
      <c r="D321" s="33">
        <v>0</v>
      </c>
      <c r="E321" s="10">
        <f>C321-D321</f>
        <v>1856000</v>
      </c>
      <c r="F321" s="11">
        <f>E321/C321</f>
        <v>1</v>
      </c>
      <c r="G321" s="390"/>
      <c r="H321" s="13"/>
      <c r="I321" s="106"/>
      <c r="K321" s="1"/>
      <c r="L321" s="1"/>
      <c r="M321" s="1"/>
      <c r="N321" s="1"/>
    </row>
    <row r="322" spans="1:14" ht="132.75" hidden="1" customHeight="1" x14ac:dyDescent="0.2">
      <c r="A322" s="173" t="s">
        <v>309</v>
      </c>
      <c r="B322" s="171">
        <v>100</v>
      </c>
      <c r="C322" s="214">
        <v>3280000</v>
      </c>
      <c r="D322" s="33">
        <v>0</v>
      </c>
      <c r="E322" s="10">
        <f t="shared" si="18"/>
        <v>3280000</v>
      </c>
      <c r="F322" s="11">
        <f t="shared" si="19"/>
        <v>1</v>
      </c>
      <c r="G322" s="390"/>
      <c r="H322" s="13"/>
      <c r="I322" s="106"/>
      <c r="K322" s="1"/>
      <c r="L322" s="1"/>
      <c r="M322" s="1"/>
      <c r="N322" s="1"/>
    </row>
    <row r="323" spans="1:14" ht="59.25" hidden="1" customHeight="1" x14ac:dyDescent="0.2">
      <c r="A323" s="173" t="s">
        <v>310</v>
      </c>
      <c r="B323" s="171">
        <v>2</v>
      </c>
      <c r="C323" s="214">
        <v>1500000</v>
      </c>
      <c r="D323" s="33">
        <v>1500000</v>
      </c>
      <c r="E323" s="28">
        <f t="shared" si="18"/>
        <v>0</v>
      </c>
      <c r="F323" s="29">
        <f t="shared" si="19"/>
        <v>0</v>
      </c>
      <c r="G323" s="382"/>
      <c r="H323" s="30"/>
      <c r="I323" s="106"/>
      <c r="K323" s="1"/>
      <c r="L323" s="1"/>
      <c r="M323" s="1"/>
      <c r="N323" s="1"/>
    </row>
    <row r="324" spans="1:14" ht="15" hidden="1" customHeight="1" x14ac:dyDescent="0.2">
      <c r="A324" s="895" t="s">
        <v>311</v>
      </c>
      <c r="B324" s="863"/>
      <c r="C324" s="863"/>
      <c r="D324" s="863"/>
      <c r="E324" s="863"/>
      <c r="F324" s="863"/>
      <c r="G324" s="863"/>
      <c r="H324" s="863"/>
      <c r="I324" s="896"/>
      <c r="K324" s="1"/>
      <c r="L324" s="1"/>
      <c r="M324" s="1"/>
      <c r="N324" s="1"/>
    </row>
    <row r="325" spans="1:14" ht="40.5" hidden="1" customHeight="1" x14ac:dyDescent="0.2">
      <c r="A325" s="172" t="s">
        <v>312</v>
      </c>
      <c r="B325" s="48">
        <v>20</v>
      </c>
      <c r="C325" s="214">
        <v>14260000</v>
      </c>
      <c r="D325" s="39">
        <v>14260000</v>
      </c>
      <c r="E325" s="10">
        <f>C325-D325</f>
        <v>0</v>
      </c>
      <c r="F325" s="11">
        <f>E325/C325</f>
        <v>0</v>
      </c>
      <c r="G325" s="390"/>
      <c r="H325" s="13"/>
      <c r="I325" s="104"/>
      <c r="K325" s="1"/>
      <c r="L325" s="1"/>
      <c r="M325" s="1"/>
      <c r="N325" s="1"/>
    </row>
    <row r="326" spans="1:14" ht="40.5" hidden="1" customHeight="1" x14ac:dyDescent="0.2">
      <c r="A326" s="173" t="s">
        <v>313</v>
      </c>
      <c r="B326" s="48">
        <v>8</v>
      </c>
      <c r="C326" s="214">
        <v>6250400</v>
      </c>
      <c r="D326" s="39">
        <v>6250400</v>
      </c>
      <c r="E326" s="10">
        <f>C326-D326</f>
        <v>0</v>
      </c>
      <c r="F326" s="11">
        <f>E326/C326</f>
        <v>0</v>
      </c>
      <c r="G326" s="390"/>
      <c r="H326" s="13"/>
      <c r="I326" s="104"/>
      <c r="K326" s="1"/>
      <c r="L326" s="1"/>
      <c r="M326" s="1"/>
      <c r="N326" s="1"/>
    </row>
    <row r="327" spans="1:14" ht="12.75" hidden="1" customHeight="1" x14ac:dyDescent="0.2">
      <c r="A327" s="895" t="s">
        <v>139</v>
      </c>
      <c r="B327" s="863"/>
      <c r="C327" s="863"/>
      <c r="D327" s="863"/>
      <c r="E327" s="863"/>
      <c r="F327" s="863"/>
      <c r="G327" s="863"/>
      <c r="H327" s="863"/>
      <c r="I327" s="896"/>
      <c r="K327" s="1"/>
      <c r="L327" s="1"/>
      <c r="M327" s="1"/>
      <c r="N327" s="1"/>
    </row>
    <row r="328" spans="1:14" ht="38.25" hidden="1" x14ac:dyDescent="0.2">
      <c r="A328" s="173" t="s">
        <v>314</v>
      </c>
      <c r="B328" s="171">
        <v>1</v>
      </c>
      <c r="C328" s="370">
        <v>13450000</v>
      </c>
      <c r="D328" s="39">
        <v>0</v>
      </c>
      <c r="E328" s="28">
        <f>C328-D328</f>
        <v>13450000</v>
      </c>
      <c r="F328" s="29">
        <f>E328/C328</f>
        <v>1</v>
      </c>
      <c r="G328" s="391"/>
      <c r="H328" s="30"/>
      <c r="I328" s="106"/>
      <c r="K328" s="1"/>
      <c r="L328" s="1"/>
      <c r="M328" s="1"/>
      <c r="N328" s="1"/>
    </row>
    <row r="329" spans="1:14" s="27" customFormat="1" ht="51" hidden="1" x14ac:dyDescent="0.2">
      <c r="A329" s="173" t="s">
        <v>315</v>
      </c>
      <c r="B329" s="171">
        <v>1</v>
      </c>
      <c r="C329" s="370">
        <v>11150000</v>
      </c>
      <c r="D329" s="39">
        <v>0</v>
      </c>
      <c r="E329" s="10">
        <f>C329-D329</f>
        <v>11150000</v>
      </c>
      <c r="F329" s="29">
        <f>E329/K329</f>
        <v>4.7602009088260962E-2</v>
      </c>
      <c r="G329" s="391"/>
      <c r="I329" s="106"/>
      <c r="K329" s="39">
        <v>234233811</v>
      </c>
      <c r="L329" s="31"/>
      <c r="M329" s="31"/>
      <c r="N329" s="31"/>
    </row>
    <row r="330" spans="1:14" s="27" customFormat="1" ht="62.25" hidden="1" customHeight="1" x14ac:dyDescent="0.2">
      <c r="A330" s="173" t="s">
        <v>316</v>
      </c>
      <c r="B330" s="171">
        <v>11</v>
      </c>
      <c r="C330" s="176">
        <f>30000000+5890000</f>
        <v>35890000</v>
      </c>
      <c r="D330" s="39">
        <v>35890000</v>
      </c>
      <c r="E330" s="28">
        <f t="shared" ref="E330:E335" si="20">C330-D330</f>
        <v>0</v>
      </c>
      <c r="F330" s="29">
        <f t="shared" ref="F330:F335" si="21">E330/C330</f>
        <v>0</v>
      </c>
      <c r="G330" s="392"/>
      <c r="H330" s="30"/>
      <c r="I330" s="106"/>
      <c r="K330" s="97"/>
      <c r="L330" s="31"/>
      <c r="M330" s="31"/>
      <c r="N330" s="31"/>
    </row>
    <row r="331" spans="1:14" s="27" customFormat="1" ht="37.5" hidden="1" customHeight="1" x14ac:dyDescent="0.2">
      <c r="A331" s="173" t="s">
        <v>317</v>
      </c>
      <c r="B331" s="171">
        <v>1</v>
      </c>
      <c r="C331" s="177">
        <v>2450000</v>
      </c>
      <c r="D331" s="39">
        <v>0</v>
      </c>
      <c r="E331" s="28">
        <f t="shared" si="20"/>
        <v>2450000</v>
      </c>
      <c r="F331" s="29">
        <f t="shared" si="21"/>
        <v>1</v>
      </c>
      <c r="G331" s="393"/>
      <c r="H331" s="30"/>
      <c r="I331" s="106"/>
      <c r="K331" s="97"/>
      <c r="L331" s="31"/>
      <c r="M331" s="31"/>
      <c r="N331" s="31"/>
    </row>
    <row r="332" spans="1:14" s="27" customFormat="1" ht="30" hidden="1" customHeight="1" x14ac:dyDescent="0.2">
      <c r="A332" s="173" t="s">
        <v>318</v>
      </c>
      <c r="B332" s="171">
        <v>1</v>
      </c>
      <c r="C332" s="199">
        <v>59560864</v>
      </c>
      <c r="D332" s="212">
        <v>18770648</v>
      </c>
      <c r="E332" s="28">
        <f t="shared" si="20"/>
        <v>40790216</v>
      </c>
      <c r="F332" s="29">
        <f t="shared" si="21"/>
        <v>0.68484929970122665</v>
      </c>
      <c r="G332" s="394"/>
      <c r="H332" s="30"/>
      <c r="I332" s="106"/>
      <c r="K332" s="97"/>
      <c r="L332" s="31"/>
      <c r="M332" s="31"/>
      <c r="N332" s="31"/>
    </row>
    <row r="333" spans="1:14" s="27" customFormat="1" ht="41.25" hidden="1" customHeight="1" x14ac:dyDescent="0.2">
      <c r="A333" s="173" t="s">
        <v>140</v>
      </c>
      <c r="B333" s="171">
        <v>1</v>
      </c>
      <c r="C333" s="176">
        <v>300000000</v>
      </c>
      <c r="D333" s="39">
        <v>300000000</v>
      </c>
      <c r="E333" s="28">
        <f t="shared" si="20"/>
        <v>0</v>
      </c>
      <c r="F333" s="29">
        <f t="shared" si="21"/>
        <v>0</v>
      </c>
      <c r="G333" s="392"/>
      <c r="H333" s="30"/>
      <c r="I333" s="106"/>
      <c r="K333" s="97"/>
      <c r="L333" s="31"/>
      <c r="M333" s="31"/>
      <c r="N333" s="31"/>
    </row>
    <row r="334" spans="1:14" s="27" customFormat="1" ht="185.25" customHeight="1" x14ac:dyDescent="0.2">
      <c r="A334" s="49" t="s">
        <v>272</v>
      </c>
      <c r="B334" s="286">
        <v>5</v>
      </c>
      <c r="C334" s="206">
        <v>243785541</v>
      </c>
      <c r="D334" s="39">
        <f>17858224+24726719+11291264+16237770+17858229+37902364+27373928+17730813+33761674</f>
        <v>204740985</v>
      </c>
      <c r="E334" s="28">
        <f t="shared" si="20"/>
        <v>39044556</v>
      </c>
      <c r="F334" s="29">
        <f t="shared" si="21"/>
        <v>0.16015944112124353</v>
      </c>
      <c r="G334" s="381" t="s">
        <v>456</v>
      </c>
      <c r="H334" s="30"/>
      <c r="I334" s="106"/>
      <c r="K334" s="97"/>
      <c r="L334" s="31"/>
      <c r="M334" s="31"/>
      <c r="N334" s="31"/>
    </row>
    <row r="335" spans="1:14" s="27" customFormat="1" hidden="1" x14ac:dyDescent="0.2">
      <c r="A335" s="49"/>
      <c r="B335" s="286"/>
      <c r="C335" s="206">
        <v>0</v>
      </c>
      <c r="D335" s="39">
        <v>0</v>
      </c>
      <c r="E335" s="28">
        <f t="shared" si="20"/>
        <v>0</v>
      </c>
      <c r="F335" s="29" t="e">
        <f t="shared" si="21"/>
        <v>#DIV/0!</v>
      </c>
      <c r="G335" s="382"/>
      <c r="H335" s="30"/>
      <c r="I335" s="106"/>
      <c r="K335" s="97"/>
      <c r="L335" s="31"/>
      <c r="M335" s="31"/>
      <c r="N335" s="31"/>
    </row>
    <row r="336" spans="1:14" s="27" customFormat="1" hidden="1" x14ac:dyDescent="0.2">
      <c r="A336" s="49"/>
      <c r="B336" s="286"/>
      <c r="C336" s="206">
        <v>0</v>
      </c>
      <c r="D336" s="39">
        <v>0</v>
      </c>
      <c r="E336" s="10">
        <f>C336-D336</f>
        <v>0</v>
      </c>
      <c r="F336" s="11" t="e">
        <f>E336/C336</f>
        <v>#DIV/0!</v>
      </c>
      <c r="G336" s="382"/>
      <c r="I336" s="106"/>
      <c r="K336" s="97"/>
      <c r="L336" s="31"/>
      <c r="M336" s="31"/>
      <c r="N336" s="31"/>
    </row>
    <row r="337" spans="1:14" ht="12.75" hidden="1" customHeight="1" x14ac:dyDescent="0.2">
      <c r="A337" s="966" t="s">
        <v>141</v>
      </c>
      <c r="B337" s="967"/>
      <c r="C337" s="213">
        <f>SUM(C302:C334)</f>
        <v>945682805</v>
      </c>
      <c r="D337" s="213">
        <f>SUM(D302:D334)</f>
        <v>581412033</v>
      </c>
      <c r="E337" s="213">
        <f>SUM(E302:E334)</f>
        <v>364270772</v>
      </c>
      <c r="F337" s="45">
        <f>E337/C337</f>
        <v>0.38519339684938014</v>
      </c>
      <c r="G337" s="388"/>
      <c r="H337" s="47"/>
      <c r="I337" s="107"/>
      <c r="K337" s="1"/>
      <c r="L337" s="1"/>
      <c r="M337" s="1"/>
      <c r="N337" s="1"/>
    </row>
    <row r="338" spans="1:14" ht="12.75" x14ac:dyDescent="0.2">
      <c r="A338" s="968" t="s">
        <v>35</v>
      </c>
      <c r="B338" s="969"/>
      <c r="C338" s="969"/>
      <c r="D338" s="969"/>
      <c r="E338" s="969"/>
      <c r="F338" s="969"/>
      <c r="G338" s="969"/>
      <c r="H338" s="969"/>
      <c r="I338" s="970"/>
      <c r="K338" s="1"/>
      <c r="L338" s="1"/>
      <c r="M338" s="1"/>
      <c r="N338" s="1"/>
    </row>
    <row r="339" spans="1:14" ht="12.75" hidden="1" customHeight="1" x14ac:dyDescent="0.2">
      <c r="A339" s="2" t="s">
        <v>1</v>
      </c>
      <c r="B339" s="957" t="s">
        <v>63</v>
      </c>
      <c r="C339" s="958"/>
      <c r="D339" s="958"/>
      <c r="E339" s="958"/>
      <c r="F339" s="958"/>
      <c r="G339" s="958"/>
      <c r="H339" s="958"/>
      <c r="I339" s="959"/>
      <c r="K339" s="1"/>
      <c r="L339" s="1"/>
      <c r="M339" s="1"/>
      <c r="N339" s="1"/>
    </row>
    <row r="340" spans="1:14" ht="12.75" hidden="1" customHeight="1" x14ac:dyDescent="0.2">
      <c r="A340" s="2" t="s">
        <v>3</v>
      </c>
      <c r="B340" s="957" t="s">
        <v>36</v>
      </c>
      <c r="C340" s="958"/>
      <c r="D340" s="958"/>
      <c r="E340" s="958"/>
      <c r="F340" s="958"/>
      <c r="G340" s="958"/>
      <c r="H340" s="958"/>
      <c r="I340" s="959"/>
      <c r="K340" s="1"/>
      <c r="L340" s="1"/>
      <c r="M340" s="1"/>
      <c r="N340" s="1"/>
    </row>
    <row r="341" spans="1:14" ht="12.75" hidden="1" x14ac:dyDescent="0.2">
      <c r="A341" s="2" t="s">
        <v>5</v>
      </c>
      <c r="B341" s="960" t="s">
        <v>324</v>
      </c>
      <c r="C341" s="961"/>
      <c r="D341" s="961"/>
      <c r="E341" s="961"/>
      <c r="F341" s="961"/>
      <c r="G341" s="961"/>
      <c r="H341" s="961"/>
      <c r="I341" s="962"/>
      <c r="K341" s="1"/>
      <c r="L341" s="1"/>
      <c r="M341" s="1"/>
      <c r="N341" s="1"/>
    </row>
    <row r="342" spans="1:14" ht="12.75" hidden="1" customHeight="1" x14ac:dyDescent="0.2">
      <c r="A342" s="2" t="s">
        <v>6</v>
      </c>
      <c r="B342" s="960" t="s">
        <v>37</v>
      </c>
      <c r="C342" s="961"/>
      <c r="D342" s="961"/>
      <c r="E342" s="961"/>
      <c r="F342" s="961"/>
      <c r="G342" s="961"/>
      <c r="H342" s="961"/>
      <c r="I342" s="962"/>
      <c r="K342" s="1"/>
      <c r="L342" s="1"/>
      <c r="M342" s="1"/>
      <c r="N342" s="1"/>
    </row>
    <row r="343" spans="1:14" ht="12.75" hidden="1" customHeight="1" x14ac:dyDescent="0.2">
      <c r="A343" s="2" t="s">
        <v>8</v>
      </c>
      <c r="B343" s="960" t="s">
        <v>38</v>
      </c>
      <c r="C343" s="961"/>
      <c r="D343" s="961"/>
      <c r="E343" s="961"/>
      <c r="F343" s="961"/>
      <c r="G343" s="961"/>
      <c r="H343" s="961"/>
      <c r="I343" s="962"/>
      <c r="K343" s="1"/>
      <c r="L343" s="1"/>
      <c r="M343" s="1"/>
      <c r="N343" s="1"/>
    </row>
    <row r="344" spans="1:14" ht="38.25" hidden="1" x14ac:dyDescent="0.2">
      <c r="A344" s="296" t="s">
        <v>10</v>
      </c>
      <c r="B344" s="3" t="s">
        <v>11</v>
      </c>
      <c r="C344" s="193" t="s">
        <v>12</v>
      </c>
      <c r="D344" s="4" t="s">
        <v>13</v>
      </c>
      <c r="E344" s="5" t="s">
        <v>14</v>
      </c>
      <c r="F344" s="3" t="s">
        <v>15</v>
      </c>
      <c r="G344" s="377" t="s">
        <v>16</v>
      </c>
      <c r="H344" s="3" t="s">
        <v>17</v>
      </c>
      <c r="I344" s="103" t="s">
        <v>18</v>
      </c>
      <c r="K344" s="1"/>
      <c r="L344" s="1"/>
      <c r="M344" s="1"/>
      <c r="N344" s="1"/>
    </row>
    <row r="345" spans="1:14" ht="60" customHeight="1" x14ac:dyDescent="0.2">
      <c r="A345" s="30" t="s">
        <v>272</v>
      </c>
      <c r="B345" s="8">
        <v>4</v>
      </c>
      <c r="C345" s="197">
        <f>161643053+15827188</f>
        <v>177470241</v>
      </c>
      <c r="D345" s="297">
        <f>20900100+31395000+33761674</f>
        <v>86056774</v>
      </c>
      <c r="E345" s="10">
        <f>C345-D345</f>
        <v>91413467</v>
      </c>
      <c r="F345" s="29">
        <f>E345/C345</f>
        <v>0.51509180629331541</v>
      </c>
      <c r="G345" s="378" t="s">
        <v>444</v>
      </c>
      <c r="H345" s="3"/>
      <c r="I345" s="103"/>
      <c r="K345" s="1"/>
      <c r="L345" s="1"/>
      <c r="M345" s="1"/>
      <c r="N345" s="1"/>
    </row>
    <row r="346" spans="1:14" hidden="1" x14ac:dyDescent="0.2">
      <c r="A346" s="966" t="s">
        <v>39</v>
      </c>
      <c r="B346" s="967"/>
      <c r="C346" s="213">
        <f>C345</f>
        <v>177470241</v>
      </c>
      <c r="D346" s="43">
        <f>D345</f>
        <v>86056774</v>
      </c>
      <c r="E346" s="43">
        <f>E345</f>
        <v>91413467</v>
      </c>
      <c r="F346" s="45">
        <f>E346/C346</f>
        <v>0.51509180629331541</v>
      </c>
      <c r="G346" s="388"/>
      <c r="H346" s="47"/>
      <c r="I346" s="107"/>
      <c r="K346" s="1"/>
      <c r="L346" s="1"/>
      <c r="M346" s="1"/>
      <c r="N346" s="1"/>
    </row>
    <row r="347" spans="1:14" ht="12.75" customHeight="1" x14ac:dyDescent="0.2">
      <c r="A347" s="968" t="s">
        <v>40</v>
      </c>
      <c r="B347" s="969"/>
      <c r="C347" s="969"/>
      <c r="D347" s="969"/>
      <c r="E347" s="969"/>
      <c r="F347" s="969"/>
      <c r="G347" s="969"/>
      <c r="H347" s="969"/>
      <c r="I347" s="970"/>
      <c r="K347" s="1"/>
      <c r="L347" s="1"/>
      <c r="M347" s="1"/>
      <c r="N347" s="1"/>
    </row>
    <row r="348" spans="1:14" ht="12.75" hidden="1" customHeight="1" x14ac:dyDescent="0.2">
      <c r="A348" s="2" t="s">
        <v>1</v>
      </c>
      <c r="B348" s="957" t="s">
        <v>63</v>
      </c>
      <c r="C348" s="958"/>
      <c r="D348" s="958"/>
      <c r="E348" s="958"/>
      <c r="F348" s="958"/>
      <c r="G348" s="958"/>
      <c r="H348" s="958"/>
      <c r="I348" s="959"/>
      <c r="K348" s="1"/>
      <c r="L348" s="1"/>
      <c r="M348" s="1"/>
      <c r="N348" s="1"/>
    </row>
    <row r="349" spans="1:14" ht="12.75" hidden="1" customHeight="1" x14ac:dyDescent="0.2">
      <c r="A349" s="2" t="s">
        <v>3</v>
      </c>
      <c r="B349" s="957" t="s">
        <v>36</v>
      </c>
      <c r="C349" s="958"/>
      <c r="D349" s="958"/>
      <c r="E349" s="958"/>
      <c r="F349" s="958"/>
      <c r="G349" s="958"/>
      <c r="H349" s="958"/>
      <c r="I349" s="959"/>
      <c r="K349" s="1"/>
      <c r="L349" s="1"/>
      <c r="M349" s="1"/>
      <c r="N349" s="1"/>
    </row>
    <row r="350" spans="1:14" ht="12.75" hidden="1" x14ac:dyDescent="0.2">
      <c r="A350" s="2" t="s">
        <v>5</v>
      </c>
      <c r="B350" s="960" t="s">
        <v>323</v>
      </c>
      <c r="C350" s="961"/>
      <c r="D350" s="961"/>
      <c r="E350" s="961"/>
      <c r="F350" s="961"/>
      <c r="G350" s="961"/>
      <c r="H350" s="961"/>
      <c r="I350" s="962"/>
      <c r="K350" s="1"/>
      <c r="L350" s="1"/>
      <c r="M350" s="1"/>
      <c r="N350" s="1"/>
    </row>
    <row r="351" spans="1:14" ht="12.75" hidden="1" x14ac:dyDescent="0.2">
      <c r="A351" s="2" t="s">
        <v>6</v>
      </c>
      <c r="B351" s="960" t="s">
        <v>37</v>
      </c>
      <c r="C351" s="961"/>
      <c r="D351" s="961"/>
      <c r="E351" s="961"/>
      <c r="F351" s="961"/>
      <c r="G351" s="961"/>
      <c r="H351" s="961"/>
      <c r="I351" s="962"/>
      <c r="K351" s="1"/>
      <c r="L351" s="1"/>
      <c r="M351" s="1"/>
      <c r="N351" s="1"/>
    </row>
    <row r="352" spans="1:14" ht="12.75" hidden="1" x14ac:dyDescent="0.2">
      <c r="A352" s="2" t="s">
        <v>8</v>
      </c>
      <c r="B352" s="960" t="s">
        <v>351</v>
      </c>
      <c r="C352" s="961"/>
      <c r="D352" s="961"/>
      <c r="E352" s="961"/>
      <c r="F352" s="961"/>
      <c r="G352" s="961"/>
      <c r="H352" s="961"/>
      <c r="I352" s="962"/>
      <c r="K352" s="1"/>
      <c r="L352" s="1"/>
      <c r="M352" s="1"/>
      <c r="N352" s="1"/>
    </row>
    <row r="353" spans="1:14" ht="12.75" hidden="1" customHeight="1" x14ac:dyDescent="0.2">
      <c r="A353" s="296" t="s">
        <v>10</v>
      </c>
      <c r="B353" s="3" t="s">
        <v>11</v>
      </c>
      <c r="C353" s="193" t="s">
        <v>12</v>
      </c>
      <c r="D353" s="4" t="s">
        <v>13</v>
      </c>
      <c r="E353" s="5" t="s">
        <v>14</v>
      </c>
      <c r="F353" s="3" t="s">
        <v>15</v>
      </c>
      <c r="G353" s="377" t="s">
        <v>16</v>
      </c>
      <c r="H353" s="3" t="s">
        <v>17</v>
      </c>
      <c r="I353" s="103" t="s">
        <v>18</v>
      </c>
      <c r="K353" s="1"/>
      <c r="L353" s="1"/>
      <c r="M353" s="1"/>
      <c r="N353" s="1"/>
    </row>
    <row r="354" spans="1:14" ht="88.5" customHeight="1" x14ac:dyDescent="0.2">
      <c r="A354" s="30" t="s">
        <v>272</v>
      </c>
      <c r="B354" s="8">
        <v>2</v>
      </c>
      <c r="C354" s="197">
        <v>119818431</v>
      </c>
      <c r="D354" s="297">
        <f>22025490+20900100+33761674+33761674</f>
        <v>110448938</v>
      </c>
      <c r="E354" s="10">
        <f>C354-D354</f>
        <v>9369493</v>
      </c>
      <c r="F354" s="29">
        <f>E354/C354</f>
        <v>7.819742690504769E-2</v>
      </c>
      <c r="G354" s="378" t="s">
        <v>447</v>
      </c>
      <c r="H354" s="3"/>
      <c r="I354" s="103"/>
      <c r="K354" s="1"/>
      <c r="L354" s="1"/>
      <c r="M354" s="1"/>
      <c r="N354" s="1"/>
    </row>
    <row r="355" spans="1:14" hidden="1" x14ac:dyDescent="0.2">
      <c r="A355" s="966" t="s">
        <v>41</v>
      </c>
      <c r="B355" s="967"/>
      <c r="C355" s="213">
        <f>C354</f>
        <v>119818431</v>
      </c>
      <c r="D355" s="43">
        <f>D354</f>
        <v>110448938</v>
      </c>
      <c r="E355" s="43">
        <f>E354</f>
        <v>9369493</v>
      </c>
      <c r="F355" s="45">
        <f>E355/C355</f>
        <v>7.819742690504769E-2</v>
      </c>
      <c r="G355" s="388"/>
      <c r="H355" s="47"/>
      <c r="I355" s="107"/>
      <c r="K355" s="1"/>
      <c r="L355" s="1"/>
      <c r="M355" s="1"/>
      <c r="N355" s="1"/>
    </row>
    <row r="356" spans="1:14" ht="12.75" hidden="1" x14ac:dyDescent="0.2">
      <c r="A356" s="968" t="s">
        <v>325</v>
      </c>
      <c r="B356" s="969"/>
      <c r="C356" s="969"/>
      <c r="D356" s="969"/>
      <c r="E356" s="969"/>
      <c r="F356" s="969"/>
      <c r="G356" s="969"/>
      <c r="H356" s="969"/>
      <c r="I356" s="970"/>
      <c r="K356" s="1"/>
      <c r="L356" s="1"/>
      <c r="M356" s="1"/>
      <c r="N356" s="1"/>
    </row>
    <row r="357" spans="1:14" ht="12.75" hidden="1" x14ac:dyDescent="0.2">
      <c r="A357" s="2" t="s">
        <v>1</v>
      </c>
      <c r="B357" s="957"/>
      <c r="C357" s="958"/>
      <c r="D357" s="958"/>
      <c r="E357" s="958"/>
      <c r="F357" s="958"/>
      <c r="G357" s="958"/>
      <c r="H357" s="958"/>
      <c r="I357" s="959"/>
      <c r="K357" s="1"/>
      <c r="L357" s="1"/>
      <c r="M357" s="1"/>
      <c r="N357" s="1"/>
    </row>
    <row r="358" spans="1:14" ht="12.75" hidden="1" customHeight="1" x14ac:dyDescent="0.2">
      <c r="A358" s="2" t="s">
        <v>3</v>
      </c>
      <c r="B358" s="957"/>
      <c r="C358" s="958"/>
      <c r="D358" s="958"/>
      <c r="E358" s="958"/>
      <c r="F358" s="958"/>
      <c r="G358" s="958"/>
      <c r="H358" s="958"/>
      <c r="I358" s="959"/>
      <c r="K358" s="1"/>
      <c r="L358" s="1"/>
      <c r="M358" s="1"/>
      <c r="N358" s="1"/>
    </row>
    <row r="359" spans="1:14" ht="12.75" hidden="1" x14ac:dyDescent="0.2">
      <c r="A359" s="2" t="s">
        <v>5</v>
      </c>
      <c r="B359" s="960" t="s">
        <v>326</v>
      </c>
      <c r="C359" s="961"/>
      <c r="D359" s="961"/>
      <c r="E359" s="961"/>
      <c r="F359" s="961"/>
      <c r="G359" s="961"/>
      <c r="H359" s="961"/>
      <c r="I359" s="962"/>
      <c r="K359" s="1"/>
      <c r="L359" s="1"/>
      <c r="M359" s="1"/>
      <c r="N359" s="1"/>
    </row>
    <row r="360" spans="1:14" ht="12.75" hidden="1" x14ac:dyDescent="0.2">
      <c r="A360" s="2" t="s">
        <v>6</v>
      </c>
      <c r="B360" s="960"/>
      <c r="C360" s="961"/>
      <c r="D360" s="961"/>
      <c r="E360" s="961"/>
      <c r="F360" s="961"/>
      <c r="G360" s="961"/>
      <c r="H360" s="961"/>
      <c r="I360" s="962"/>
      <c r="K360" s="1"/>
      <c r="L360" s="1"/>
      <c r="M360" s="1"/>
      <c r="N360" s="1"/>
    </row>
    <row r="361" spans="1:14" ht="12.75" hidden="1" x14ac:dyDescent="0.2">
      <c r="A361" s="2" t="s">
        <v>8</v>
      </c>
      <c r="B361" s="960" t="s">
        <v>206</v>
      </c>
      <c r="C361" s="961"/>
      <c r="D361" s="961"/>
      <c r="E361" s="961"/>
      <c r="F361" s="961"/>
      <c r="G361" s="961"/>
      <c r="H361" s="961"/>
      <c r="I361" s="962"/>
      <c r="K361" s="1"/>
      <c r="L361" s="1"/>
      <c r="M361" s="1"/>
      <c r="N361" s="1"/>
    </row>
    <row r="362" spans="1:14" ht="38.25" hidden="1" x14ac:dyDescent="0.2">
      <c r="A362" s="296" t="s">
        <v>10</v>
      </c>
      <c r="B362" s="3" t="s">
        <v>11</v>
      </c>
      <c r="C362" s="193" t="s">
        <v>12</v>
      </c>
      <c r="D362" s="4" t="s">
        <v>13</v>
      </c>
      <c r="E362" s="5" t="s">
        <v>14</v>
      </c>
      <c r="F362" s="3" t="s">
        <v>15</v>
      </c>
      <c r="G362" s="377" t="s">
        <v>16</v>
      </c>
      <c r="H362" s="3" t="s">
        <v>17</v>
      </c>
      <c r="I362" s="103" t="s">
        <v>18</v>
      </c>
      <c r="K362" s="1"/>
      <c r="L362" s="1"/>
      <c r="M362" s="1"/>
      <c r="N362" s="1"/>
    </row>
    <row r="363" spans="1:14" ht="68.25" hidden="1" customHeight="1" x14ac:dyDescent="0.2">
      <c r="A363" s="7" t="s">
        <v>327</v>
      </c>
      <c r="B363" s="8">
        <v>1</v>
      </c>
      <c r="C363" s="197">
        <v>5000000</v>
      </c>
      <c r="D363" s="23">
        <v>5000000</v>
      </c>
      <c r="E363" s="10">
        <f>C363-D363</f>
        <v>0</v>
      </c>
      <c r="F363" s="29">
        <f>E363/C363</f>
        <v>0</v>
      </c>
      <c r="G363" s="378" t="s">
        <v>429</v>
      </c>
      <c r="H363" s="3"/>
      <c r="I363" s="103"/>
      <c r="K363" s="1"/>
      <c r="L363" s="1"/>
      <c r="M363" s="1"/>
      <c r="N363" s="1"/>
    </row>
    <row r="364" spans="1:14" hidden="1" x14ac:dyDescent="0.2">
      <c r="A364" s="966" t="s">
        <v>402</v>
      </c>
      <c r="B364" s="967"/>
      <c r="C364" s="213">
        <f>C363</f>
        <v>5000000</v>
      </c>
      <c r="D364" s="43">
        <f>D363</f>
        <v>5000000</v>
      </c>
      <c r="E364" s="43">
        <f>E363</f>
        <v>0</v>
      </c>
      <c r="F364" s="45">
        <f>E364/C364</f>
        <v>0</v>
      </c>
      <c r="G364" s="388"/>
      <c r="H364" s="47"/>
      <c r="I364" s="107"/>
      <c r="K364" s="1"/>
      <c r="L364" s="1"/>
      <c r="M364" s="1"/>
      <c r="N364" s="1"/>
    </row>
    <row r="365" spans="1:14" ht="12.75" x14ac:dyDescent="0.2">
      <c r="A365" s="968" t="s">
        <v>142</v>
      </c>
      <c r="B365" s="969"/>
      <c r="C365" s="969"/>
      <c r="D365" s="969"/>
      <c r="E365" s="969"/>
      <c r="F365" s="969"/>
      <c r="G365" s="969"/>
      <c r="H365" s="969"/>
      <c r="I365" s="970"/>
      <c r="K365" s="1"/>
      <c r="L365" s="1"/>
      <c r="M365" s="1"/>
      <c r="N365" s="1"/>
    </row>
    <row r="366" spans="1:14" ht="12.75" hidden="1" customHeight="1" x14ac:dyDescent="0.2">
      <c r="A366" s="2" t="s">
        <v>62</v>
      </c>
      <c r="B366" s="957" t="s">
        <v>63</v>
      </c>
      <c r="C366" s="958"/>
      <c r="D366" s="958"/>
      <c r="E366" s="958"/>
      <c r="F366" s="958"/>
      <c r="G366" s="958"/>
      <c r="H366" s="958"/>
      <c r="I366" s="959"/>
      <c r="K366" s="1"/>
      <c r="L366" s="1"/>
      <c r="M366" s="1"/>
      <c r="N366" s="1"/>
    </row>
    <row r="367" spans="1:14" ht="12.75" hidden="1" customHeight="1" x14ac:dyDescent="0.2">
      <c r="A367" s="2" t="s">
        <v>3</v>
      </c>
      <c r="B367" s="957" t="s">
        <v>124</v>
      </c>
      <c r="C367" s="958"/>
      <c r="D367" s="958"/>
      <c r="E367" s="958"/>
      <c r="F367" s="958"/>
      <c r="G367" s="958"/>
      <c r="H367" s="958"/>
      <c r="I367" s="959"/>
      <c r="K367" s="1"/>
      <c r="L367" s="1"/>
      <c r="M367" s="1"/>
      <c r="N367" s="1"/>
    </row>
    <row r="368" spans="1:14" ht="12.75" hidden="1" x14ac:dyDescent="0.2">
      <c r="A368" s="2" t="s">
        <v>5</v>
      </c>
      <c r="B368" s="960" t="s">
        <v>143</v>
      </c>
      <c r="C368" s="961"/>
      <c r="D368" s="961"/>
      <c r="E368" s="961"/>
      <c r="F368" s="961"/>
      <c r="G368" s="961"/>
      <c r="H368" s="961"/>
      <c r="I368" s="962"/>
      <c r="K368" s="1"/>
      <c r="L368" s="1"/>
      <c r="M368" s="1"/>
      <c r="N368" s="1"/>
    </row>
    <row r="369" spans="1:14" ht="12.75" hidden="1" x14ac:dyDescent="0.2">
      <c r="A369" s="2" t="s">
        <v>6</v>
      </c>
      <c r="B369" s="960" t="s">
        <v>144</v>
      </c>
      <c r="C369" s="961"/>
      <c r="D369" s="961"/>
      <c r="E369" s="961"/>
      <c r="F369" s="961"/>
      <c r="G369" s="961"/>
      <c r="H369" s="961"/>
      <c r="I369" s="962"/>
    </row>
    <row r="370" spans="1:14" ht="12.75" hidden="1" x14ac:dyDescent="0.2">
      <c r="A370" s="2" t="s">
        <v>8</v>
      </c>
      <c r="B370" s="960" t="s">
        <v>145</v>
      </c>
      <c r="C370" s="961"/>
      <c r="D370" s="961"/>
      <c r="E370" s="961"/>
      <c r="F370" s="961"/>
      <c r="G370" s="961"/>
      <c r="H370" s="961"/>
      <c r="I370" s="962"/>
    </row>
    <row r="371" spans="1:14" ht="38.25" hidden="1" x14ac:dyDescent="0.2">
      <c r="A371" s="296" t="s">
        <v>10</v>
      </c>
      <c r="B371" s="3" t="s">
        <v>11</v>
      </c>
      <c r="C371" s="193" t="s">
        <v>12</v>
      </c>
      <c r="D371" s="4" t="s">
        <v>13</v>
      </c>
      <c r="E371" s="5" t="s">
        <v>14</v>
      </c>
      <c r="F371" s="3" t="s">
        <v>15</v>
      </c>
      <c r="G371" s="377" t="s">
        <v>16</v>
      </c>
      <c r="H371" s="3" t="s">
        <v>17</v>
      </c>
      <c r="I371" s="103" t="s">
        <v>18</v>
      </c>
    </row>
    <row r="372" spans="1:14" s="27" customFormat="1" ht="25.5" hidden="1" x14ac:dyDescent="0.2">
      <c r="A372" s="179" t="s">
        <v>328</v>
      </c>
      <c r="B372" s="126" t="s">
        <v>331</v>
      </c>
      <c r="C372" s="180">
        <v>25000000</v>
      </c>
      <c r="D372" s="23">
        <v>0</v>
      </c>
      <c r="E372" s="28">
        <f>C372-D372</f>
        <v>25000000</v>
      </c>
      <c r="F372" s="29">
        <f>E372/C372</f>
        <v>1</v>
      </c>
      <c r="G372" s="383"/>
      <c r="H372" s="38"/>
      <c r="I372" s="109"/>
      <c r="K372" s="31"/>
      <c r="L372" s="31"/>
      <c r="M372" s="31"/>
      <c r="N372" s="31"/>
    </row>
    <row r="373" spans="1:14" s="27" customFormat="1" hidden="1" x14ac:dyDescent="0.2">
      <c r="A373" s="179" t="s">
        <v>329</v>
      </c>
      <c r="B373" s="126">
        <v>1</v>
      </c>
      <c r="C373" s="180">
        <v>30000000</v>
      </c>
      <c r="D373" s="23">
        <v>30000000</v>
      </c>
      <c r="E373" s="28">
        <f>C373-D373</f>
        <v>0</v>
      </c>
      <c r="F373" s="29">
        <f>E373/C373</f>
        <v>0</v>
      </c>
      <c r="G373" s="383"/>
      <c r="H373" s="38"/>
      <c r="I373" s="109"/>
      <c r="K373" s="31"/>
      <c r="L373" s="31"/>
      <c r="M373" s="31"/>
      <c r="N373" s="31"/>
    </row>
    <row r="374" spans="1:14" s="27" customFormat="1" ht="25.5" hidden="1" x14ac:dyDescent="0.2">
      <c r="A374" s="145" t="s">
        <v>330</v>
      </c>
      <c r="B374" s="126">
        <v>1</v>
      </c>
      <c r="C374" s="180">
        <v>3125000</v>
      </c>
      <c r="D374" s="23">
        <v>3125000</v>
      </c>
      <c r="E374" s="28">
        <f>C374-D374</f>
        <v>0</v>
      </c>
      <c r="F374" s="29">
        <f>E374/C374</f>
        <v>0</v>
      </c>
      <c r="G374" s="383"/>
      <c r="H374" s="38"/>
      <c r="I374" s="109"/>
      <c r="K374" s="31"/>
      <c r="L374" s="31"/>
      <c r="M374" s="31"/>
      <c r="N374" s="31"/>
    </row>
    <row r="375" spans="1:14" hidden="1" x14ac:dyDescent="0.2">
      <c r="A375" s="914" t="s">
        <v>146</v>
      </c>
      <c r="B375" s="915"/>
      <c r="C375" s="217">
        <f>SUM(C372:C374)</f>
        <v>58125000</v>
      </c>
      <c r="D375" s="51">
        <f>SUM(D372:D374)</f>
        <v>33125000</v>
      </c>
      <c r="E375" s="51">
        <f>SUM(E372:E374)</f>
        <v>25000000</v>
      </c>
      <c r="F375" s="52">
        <f>E375/C375</f>
        <v>0.43010752688172044</v>
      </c>
      <c r="G375" s="367"/>
      <c r="H375" s="54"/>
      <c r="I375" s="108"/>
    </row>
    <row r="376" spans="1:14" ht="12.75" hidden="1" customHeight="1" x14ac:dyDescent="0.2">
      <c r="A376" s="2" t="s">
        <v>62</v>
      </c>
      <c r="B376" s="957" t="s">
        <v>63</v>
      </c>
      <c r="C376" s="958"/>
      <c r="D376" s="958"/>
      <c r="E376" s="958"/>
      <c r="F376" s="958"/>
      <c r="G376" s="958"/>
      <c r="H376" s="958"/>
      <c r="I376" s="959"/>
      <c r="K376" s="1"/>
      <c r="L376" s="1"/>
      <c r="M376" s="1"/>
      <c r="N376" s="1"/>
    </row>
    <row r="377" spans="1:14" ht="12.75" hidden="1" customHeight="1" x14ac:dyDescent="0.2">
      <c r="A377" s="2" t="s">
        <v>3</v>
      </c>
      <c r="B377" s="957" t="s">
        <v>124</v>
      </c>
      <c r="C377" s="958"/>
      <c r="D377" s="958"/>
      <c r="E377" s="958"/>
      <c r="F377" s="958"/>
      <c r="G377" s="958"/>
      <c r="H377" s="958"/>
      <c r="I377" s="959"/>
      <c r="K377" s="1"/>
      <c r="L377" s="1"/>
      <c r="M377" s="1"/>
      <c r="N377" s="1"/>
    </row>
    <row r="378" spans="1:14" ht="12.75" hidden="1" customHeight="1" x14ac:dyDescent="0.2">
      <c r="A378" s="2" t="s">
        <v>5</v>
      </c>
      <c r="B378" s="960" t="s">
        <v>147</v>
      </c>
      <c r="C378" s="961"/>
      <c r="D378" s="961"/>
      <c r="E378" s="961"/>
      <c r="F378" s="961"/>
      <c r="G378" s="961"/>
      <c r="H378" s="961"/>
      <c r="I378" s="962"/>
      <c r="K378" s="1"/>
      <c r="L378" s="1"/>
      <c r="M378" s="1"/>
      <c r="N378" s="1"/>
    </row>
    <row r="379" spans="1:14" ht="12.75" hidden="1" customHeight="1" x14ac:dyDescent="0.2">
      <c r="A379" s="2" t="s">
        <v>6</v>
      </c>
      <c r="B379" s="960" t="s">
        <v>144</v>
      </c>
      <c r="C379" s="961"/>
      <c r="D379" s="961"/>
      <c r="E379" s="961"/>
      <c r="F379" s="961"/>
      <c r="G379" s="961"/>
      <c r="H379" s="961"/>
      <c r="I379" s="962"/>
      <c r="K379" s="1"/>
      <c r="L379" s="1"/>
      <c r="M379" s="1"/>
      <c r="N379" s="1"/>
    </row>
    <row r="380" spans="1:14" ht="12.75" hidden="1" x14ac:dyDescent="0.2">
      <c r="A380" s="2" t="s">
        <v>8</v>
      </c>
      <c r="B380" s="960" t="s">
        <v>145</v>
      </c>
      <c r="C380" s="961"/>
      <c r="D380" s="961"/>
      <c r="E380" s="961"/>
      <c r="F380" s="961"/>
      <c r="G380" s="961"/>
      <c r="H380" s="961"/>
      <c r="I380" s="962"/>
      <c r="K380" s="1"/>
      <c r="L380" s="1"/>
      <c r="M380" s="1"/>
      <c r="N380" s="1"/>
    </row>
    <row r="381" spans="1:14" ht="38.25" hidden="1" x14ac:dyDescent="0.2">
      <c r="A381" s="296" t="s">
        <v>10</v>
      </c>
      <c r="B381" s="3" t="s">
        <v>11</v>
      </c>
      <c r="C381" s="193" t="s">
        <v>12</v>
      </c>
      <c r="D381" s="4" t="s">
        <v>13</v>
      </c>
      <c r="E381" s="5" t="s">
        <v>14</v>
      </c>
      <c r="F381" s="3" t="s">
        <v>15</v>
      </c>
      <c r="G381" s="377" t="s">
        <v>16</v>
      </c>
      <c r="H381" s="3" t="s">
        <v>17</v>
      </c>
      <c r="I381" s="103" t="s">
        <v>18</v>
      </c>
      <c r="K381" s="1"/>
      <c r="L381" s="1"/>
      <c r="M381" s="1"/>
      <c r="N381" s="1"/>
    </row>
    <row r="382" spans="1:14" ht="12.75" hidden="1" x14ac:dyDescent="0.2">
      <c r="A382" s="963" t="s">
        <v>148</v>
      </c>
      <c r="B382" s="964"/>
      <c r="C382" s="964"/>
      <c r="D382" s="964"/>
      <c r="E382" s="964"/>
      <c r="F382" s="964"/>
      <c r="G382" s="964"/>
      <c r="H382" s="964"/>
      <c r="I382" s="965"/>
      <c r="K382" s="1"/>
      <c r="L382" s="1"/>
      <c r="M382" s="1"/>
      <c r="N382" s="1"/>
    </row>
    <row r="383" spans="1:14" ht="36.75" hidden="1" customHeight="1" x14ac:dyDescent="0.2">
      <c r="A383" s="181" t="s">
        <v>149</v>
      </c>
      <c r="B383" s="126" t="s">
        <v>331</v>
      </c>
      <c r="C383" s="197">
        <v>20000000</v>
      </c>
      <c r="D383" s="23">
        <v>0</v>
      </c>
      <c r="E383" s="10">
        <f>C383-D383</f>
        <v>20000000</v>
      </c>
      <c r="F383" s="11">
        <f>E383/C383</f>
        <v>1</v>
      </c>
      <c r="G383" s="390"/>
      <c r="H383" s="13"/>
      <c r="I383" s="104"/>
      <c r="K383" s="1"/>
      <c r="L383" s="1"/>
      <c r="M383" s="1"/>
      <c r="N383" s="1"/>
    </row>
    <row r="384" spans="1:14" ht="42.75" hidden="1" customHeight="1" x14ac:dyDescent="0.2">
      <c r="A384" s="181" t="s">
        <v>150</v>
      </c>
      <c r="B384" s="8">
        <v>100</v>
      </c>
      <c r="C384" s="197">
        <v>75000000</v>
      </c>
      <c r="D384" s="23">
        <v>75000000</v>
      </c>
      <c r="E384" s="10">
        <f>C384-D384</f>
        <v>0</v>
      </c>
      <c r="F384" s="11">
        <f>E384/C384</f>
        <v>0</v>
      </c>
      <c r="G384" s="390"/>
      <c r="H384" s="13"/>
      <c r="I384" s="104"/>
      <c r="K384" s="1"/>
      <c r="L384" s="1"/>
      <c r="M384" s="1"/>
      <c r="N384" s="1"/>
    </row>
    <row r="385" spans="1:14" ht="25.5" hidden="1" x14ac:dyDescent="0.2">
      <c r="A385" s="181" t="s">
        <v>151</v>
      </c>
      <c r="B385" s="126" t="s">
        <v>331</v>
      </c>
      <c r="C385" s="197">
        <v>570000000</v>
      </c>
      <c r="D385" s="23">
        <v>570000000</v>
      </c>
      <c r="E385" s="10">
        <f>C385-D385</f>
        <v>0</v>
      </c>
      <c r="F385" s="11">
        <f>E385/C385</f>
        <v>0</v>
      </c>
      <c r="G385" s="390"/>
      <c r="H385" s="13"/>
      <c r="I385" s="104"/>
      <c r="K385" s="1"/>
      <c r="L385" s="1"/>
      <c r="M385" s="1"/>
      <c r="N385" s="1"/>
    </row>
    <row r="386" spans="1:14" ht="12.75" hidden="1" x14ac:dyDescent="0.2">
      <c r="A386" s="963" t="s">
        <v>152</v>
      </c>
      <c r="B386" s="964"/>
      <c r="C386" s="964"/>
      <c r="D386" s="964"/>
      <c r="E386" s="964"/>
      <c r="F386" s="964"/>
      <c r="G386" s="964"/>
      <c r="H386" s="964"/>
      <c r="I386" s="965"/>
      <c r="K386" s="1"/>
      <c r="L386" s="1"/>
      <c r="M386" s="1"/>
      <c r="N386" s="1"/>
    </row>
    <row r="387" spans="1:14" ht="25.5" hidden="1" x14ac:dyDescent="0.2">
      <c r="A387" s="145" t="s">
        <v>332</v>
      </c>
      <c r="B387" s="126" t="s">
        <v>331</v>
      </c>
      <c r="C387" s="180">
        <v>10000000</v>
      </c>
      <c r="D387" s="23">
        <v>10000000</v>
      </c>
      <c r="E387" s="10">
        <f t="shared" ref="E387:E393" si="22">C387-D387</f>
        <v>0</v>
      </c>
      <c r="F387" s="11">
        <f t="shared" ref="F387:F393" si="23">E387/C387</f>
        <v>0</v>
      </c>
      <c r="G387" s="390"/>
      <c r="H387" s="13"/>
      <c r="I387" s="104"/>
      <c r="J387" s="104"/>
      <c r="K387" s="1"/>
      <c r="L387" s="1"/>
      <c r="M387" s="1"/>
      <c r="N387" s="1"/>
    </row>
    <row r="388" spans="1:14" hidden="1" x14ac:dyDescent="0.2">
      <c r="A388" s="145" t="s">
        <v>333</v>
      </c>
      <c r="B388" s="126">
        <v>2</v>
      </c>
      <c r="C388" s="180">
        <v>8000000</v>
      </c>
      <c r="D388" s="23">
        <v>8000000</v>
      </c>
      <c r="E388" s="10">
        <f t="shared" si="22"/>
        <v>0</v>
      </c>
      <c r="F388" s="11">
        <f t="shared" si="23"/>
        <v>0</v>
      </c>
      <c r="G388" s="390"/>
      <c r="H388" s="13"/>
      <c r="I388" s="104"/>
      <c r="J388" s="182"/>
      <c r="K388" s="1"/>
      <c r="L388" s="1"/>
      <c r="M388" s="1"/>
      <c r="N388" s="1"/>
    </row>
    <row r="389" spans="1:14" hidden="1" x14ac:dyDescent="0.2">
      <c r="A389" s="145" t="s">
        <v>153</v>
      </c>
      <c r="B389" s="126">
        <v>1</v>
      </c>
      <c r="C389" s="180">
        <v>25000000</v>
      </c>
      <c r="D389" s="23">
        <v>0</v>
      </c>
      <c r="E389" s="10">
        <f t="shared" si="22"/>
        <v>25000000</v>
      </c>
      <c r="F389" s="11">
        <f t="shared" si="23"/>
        <v>1</v>
      </c>
      <c r="G389" s="390"/>
      <c r="H389" s="13"/>
      <c r="I389" s="104"/>
      <c r="J389" s="182"/>
      <c r="K389" s="1"/>
      <c r="L389" s="1"/>
      <c r="M389" s="1"/>
      <c r="N389" s="1"/>
    </row>
    <row r="390" spans="1:14" s="27" customFormat="1" ht="12.75" hidden="1" customHeight="1" x14ac:dyDescent="0.2">
      <c r="A390" s="145" t="s">
        <v>334</v>
      </c>
      <c r="B390" s="126">
        <v>2</v>
      </c>
      <c r="C390" s="180">
        <v>90000000</v>
      </c>
      <c r="D390" s="23">
        <v>0</v>
      </c>
      <c r="E390" s="28">
        <f t="shared" si="22"/>
        <v>90000000</v>
      </c>
      <c r="F390" s="29">
        <f t="shared" si="23"/>
        <v>1</v>
      </c>
      <c r="G390" s="382"/>
      <c r="H390" s="30"/>
      <c r="I390" s="106"/>
    </row>
    <row r="391" spans="1:14" s="27" customFormat="1" ht="12.75" hidden="1" customHeight="1" x14ac:dyDescent="0.2">
      <c r="A391" s="183" t="s">
        <v>335</v>
      </c>
      <c r="B391" s="126">
        <v>1</v>
      </c>
      <c r="C391" s="184">
        <v>30000000</v>
      </c>
      <c r="D391" s="23">
        <v>0</v>
      </c>
      <c r="E391" s="28">
        <f t="shared" si="22"/>
        <v>30000000</v>
      </c>
      <c r="F391" s="29">
        <f t="shared" si="23"/>
        <v>1</v>
      </c>
      <c r="G391" s="382"/>
      <c r="H391" s="30"/>
      <c r="I391" s="106"/>
    </row>
    <row r="392" spans="1:14" s="27" customFormat="1" ht="14.25" hidden="1" x14ac:dyDescent="0.2">
      <c r="A392" s="30" t="s">
        <v>154</v>
      </c>
      <c r="B392" s="126">
        <v>1</v>
      </c>
      <c r="C392" s="180">
        <v>25000000</v>
      </c>
      <c r="D392" s="23">
        <v>25000000</v>
      </c>
      <c r="E392" s="28">
        <f t="shared" si="22"/>
        <v>0</v>
      </c>
      <c r="F392" s="29">
        <f t="shared" si="23"/>
        <v>0</v>
      </c>
      <c r="G392" s="381" t="s">
        <v>414</v>
      </c>
      <c r="H392" s="30"/>
      <c r="I392" s="106"/>
    </row>
    <row r="393" spans="1:14" s="27" customFormat="1" ht="25.5" hidden="1" x14ac:dyDescent="0.2">
      <c r="A393" s="145" t="s">
        <v>336</v>
      </c>
      <c r="B393" s="126" t="s">
        <v>331</v>
      </c>
      <c r="C393" s="180">
        <v>15000000</v>
      </c>
      <c r="D393" s="23">
        <v>15000000</v>
      </c>
      <c r="E393" s="28">
        <f t="shared" si="22"/>
        <v>0</v>
      </c>
      <c r="F393" s="29">
        <f t="shared" si="23"/>
        <v>0</v>
      </c>
      <c r="G393" s="383"/>
      <c r="H393" s="286"/>
      <c r="I393" s="109"/>
    </row>
    <row r="394" spans="1:14" ht="12.75" hidden="1" x14ac:dyDescent="0.2">
      <c r="A394" s="963" t="s">
        <v>155</v>
      </c>
      <c r="B394" s="964"/>
      <c r="C394" s="964"/>
      <c r="D394" s="964"/>
      <c r="E394" s="964"/>
      <c r="F394" s="964"/>
      <c r="G394" s="964"/>
      <c r="H394" s="964"/>
      <c r="I394" s="965"/>
      <c r="K394" s="1"/>
      <c r="L394" s="1"/>
      <c r="M394" s="1"/>
      <c r="N394" s="1"/>
    </row>
    <row r="395" spans="1:14" s="27" customFormat="1" ht="12.75" hidden="1" customHeight="1" x14ac:dyDescent="0.2">
      <c r="A395" s="145" t="s">
        <v>156</v>
      </c>
      <c r="B395" s="126">
        <v>2</v>
      </c>
      <c r="C395" s="180">
        <v>15000000</v>
      </c>
      <c r="D395" s="23">
        <v>0</v>
      </c>
      <c r="E395" s="28">
        <f>C395-D395</f>
        <v>15000000</v>
      </c>
      <c r="F395" s="29">
        <f>E395/C395</f>
        <v>1</v>
      </c>
      <c r="G395" s="383"/>
      <c r="H395" s="286"/>
      <c r="I395" s="109"/>
    </row>
    <row r="396" spans="1:14" s="27" customFormat="1" hidden="1" x14ac:dyDescent="0.2">
      <c r="A396" s="30" t="s">
        <v>157</v>
      </c>
      <c r="B396" s="126">
        <v>10</v>
      </c>
      <c r="C396" s="184">
        <v>40000000</v>
      </c>
      <c r="D396" s="23">
        <v>40000000</v>
      </c>
      <c r="E396" s="10">
        <f>C396-D396</f>
        <v>0</v>
      </c>
      <c r="F396" s="11">
        <f>E396/C396</f>
        <v>0</v>
      </c>
      <c r="G396" s="383"/>
      <c r="H396" s="286"/>
      <c r="I396" s="109"/>
    </row>
    <row r="397" spans="1:14" hidden="1" x14ac:dyDescent="0.2">
      <c r="A397" s="30" t="s">
        <v>158</v>
      </c>
      <c r="B397" s="126">
        <v>1</v>
      </c>
      <c r="C397" s="184">
        <v>20140000</v>
      </c>
      <c r="D397" s="23">
        <v>0</v>
      </c>
      <c r="E397" s="10">
        <f>C397-D397</f>
        <v>20140000</v>
      </c>
      <c r="F397" s="11">
        <f>E397/C397</f>
        <v>1</v>
      </c>
      <c r="G397" s="377"/>
      <c r="H397" s="8"/>
      <c r="I397" s="103"/>
      <c r="K397" s="1"/>
      <c r="L397" s="1"/>
      <c r="M397" s="1"/>
      <c r="N397" s="1"/>
    </row>
    <row r="398" spans="1:14" hidden="1" x14ac:dyDescent="0.2">
      <c r="A398" s="145" t="s">
        <v>337</v>
      </c>
      <c r="B398" s="73">
        <v>1</v>
      </c>
      <c r="C398" s="184">
        <v>40000000</v>
      </c>
      <c r="D398" s="23">
        <v>40000000</v>
      </c>
      <c r="E398" s="10">
        <f>C398-D398</f>
        <v>0</v>
      </c>
      <c r="F398" s="11">
        <f>E398/C398</f>
        <v>0</v>
      </c>
      <c r="G398" s="377"/>
      <c r="H398" s="8"/>
      <c r="I398" s="103"/>
      <c r="K398" s="1"/>
      <c r="L398" s="1"/>
      <c r="M398" s="1"/>
      <c r="N398" s="1"/>
    </row>
    <row r="399" spans="1:14" ht="12.75" hidden="1" customHeight="1" x14ac:dyDescent="0.2">
      <c r="A399" s="914" t="s">
        <v>159</v>
      </c>
      <c r="B399" s="915"/>
      <c r="C399" s="217">
        <f>SUM(C382:C398)</f>
        <v>983140000</v>
      </c>
      <c r="D399" s="51">
        <f>SUM(D382:D398)</f>
        <v>783000000</v>
      </c>
      <c r="E399" s="51">
        <f>SUM(E382:E398)</f>
        <v>200140000</v>
      </c>
      <c r="F399" s="52">
        <f>E399/C399</f>
        <v>0.20357222776003417</v>
      </c>
      <c r="G399" s="367"/>
      <c r="H399" s="54"/>
      <c r="I399" s="108"/>
      <c r="K399" s="1"/>
      <c r="L399" s="1"/>
      <c r="M399" s="1"/>
      <c r="N399" s="1"/>
    </row>
    <row r="400" spans="1:14" ht="12.75" hidden="1" customHeight="1" x14ac:dyDescent="0.2">
      <c r="A400" s="2" t="s">
        <v>62</v>
      </c>
      <c r="B400" s="957" t="s">
        <v>123</v>
      </c>
      <c r="C400" s="958"/>
      <c r="D400" s="958"/>
      <c r="E400" s="958"/>
      <c r="F400" s="958"/>
      <c r="G400" s="958"/>
      <c r="H400" s="958"/>
      <c r="I400" s="959"/>
      <c r="K400" s="1"/>
      <c r="L400" s="1"/>
      <c r="M400" s="1"/>
      <c r="N400" s="1"/>
    </row>
    <row r="401" spans="1:14" ht="12.75" hidden="1" customHeight="1" x14ac:dyDescent="0.2">
      <c r="A401" s="2" t="s">
        <v>3</v>
      </c>
      <c r="B401" s="957" t="s">
        <v>126</v>
      </c>
      <c r="C401" s="958"/>
      <c r="D401" s="958"/>
      <c r="E401" s="958"/>
      <c r="F401" s="958"/>
      <c r="G401" s="958"/>
      <c r="H401" s="958"/>
      <c r="I401" s="959"/>
      <c r="K401" s="1"/>
      <c r="L401" s="1"/>
      <c r="M401" s="1"/>
      <c r="N401" s="1"/>
    </row>
    <row r="402" spans="1:14" ht="12.75" hidden="1" x14ac:dyDescent="0.2">
      <c r="A402" s="2" t="s">
        <v>5</v>
      </c>
      <c r="B402" s="960" t="s">
        <v>160</v>
      </c>
      <c r="C402" s="961"/>
      <c r="D402" s="961"/>
      <c r="E402" s="961"/>
      <c r="F402" s="961"/>
      <c r="G402" s="961"/>
      <c r="H402" s="961"/>
      <c r="I402" s="962"/>
      <c r="K402" s="1"/>
      <c r="L402" s="1"/>
      <c r="M402" s="1"/>
      <c r="N402" s="1"/>
    </row>
    <row r="403" spans="1:14" ht="12.75" hidden="1" x14ac:dyDescent="0.2">
      <c r="A403" s="2" t="s">
        <v>6</v>
      </c>
      <c r="B403" s="960" t="s">
        <v>128</v>
      </c>
      <c r="C403" s="961"/>
      <c r="D403" s="961"/>
      <c r="E403" s="961"/>
      <c r="F403" s="961"/>
      <c r="G403" s="961"/>
      <c r="H403" s="961"/>
      <c r="I403" s="962"/>
      <c r="K403" s="1"/>
      <c r="L403" s="1"/>
      <c r="M403" s="1"/>
      <c r="N403" s="1"/>
    </row>
    <row r="404" spans="1:14" ht="12.75" hidden="1" x14ac:dyDescent="0.2">
      <c r="A404" s="2" t="s">
        <v>8</v>
      </c>
      <c r="B404" s="960" t="s">
        <v>161</v>
      </c>
      <c r="C404" s="961"/>
      <c r="D404" s="961"/>
      <c r="E404" s="961"/>
      <c r="F404" s="961"/>
      <c r="G404" s="961"/>
      <c r="H404" s="961"/>
      <c r="I404" s="962"/>
      <c r="K404" s="1"/>
      <c r="L404" s="1"/>
      <c r="M404" s="1"/>
      <c r="N404" s="1"/>
    </row>
    <row r="405" spans="1:14" ht="38.25" hidden="1" x14ac:dyDescent="0.2">
      <c r="A405" s="296" t="s">
        <v>10</v>
      </c>
      <c r="B405" s="3" t="s">
        <v>11</v>
      </c>
      <c r="C405" s="193" t="s">
        <v>12</v>
      </c>
      <c r="D405" s="4" t="s">
        <v>13</v>
      </c>
      <c r="E405" s="5" t="s">
        <v>14</v>
      </c>
      <c r="F405" s="3" t="s">
        <v>15</v>
      </c>
      <c r="G405" s="377" t="s">
        <v>16</v>
      </c>
      <c r="H405" s="3" t="s">
        <v>17</v>
      </c>
      <c r="I405" s="103" t="s">
        <v>18</v>
      </c>
      <c r="K405" s="1"/>
      <c r="L405" s="1"/>
      <c r="M405" s="1"/>
      <c r="N405" s="1"/>
    </row>
    <row r="406" spans="1:14" ht="45" hidden="1" customHeight="1" x14ac:dyDescent="0.2">
      <c r="A406" s="185" t="s">
        <v>338</v>
      </c>
      <c r="B406" s="8">
        <v>1</v>
      </c>
      <c r="C406" s="197">
        <v>17000000</v>
      </c>
      <c r="D406" s="15">
        <v>17000000</v>
      </c>
      <c r="E406" s="187">
        <f>C406-D406</f>
        <v>0</v>
      </c>
      <c r="F406" s="11">
        <f>E406/C406</f>
        <v>0</v>
      </c>
      <c r="G406" s="378" t="s">
        <v>414</v>
      </c>
      <c r="H406" s="3"/>
      <c r="I406" s="103"/>
      <c r="K406" s="1"/>
      <c r="L406" s="1"/>
      <c r="M406" s="1"/>
      <c r="N406" s="1"/>
    </row>
    <row r="407" spans="1:14" ht="76.5" hidden="1" x14ac:dyDescent="0.2">
      <c r="A407" s="186" t="s">
        <v>339</v>
      </c>
      <c r="B407" s="8">
        <v>1</v>
      </c>
      <c r="C407" s="197">
        <v>18000000</v>
      </c>
      <c r="D407" s="15">
        <f>12000000+4000000+2000000</f>
        <v>18000000</v>
      </c>
      <c r="E407" s="187">
        <f>C407-D407</f>
        <v>0</v>
      </c>
      <c r="F407" s="11">
        <f>E407/C407</f>
        <v>0</v>
      </c>
      <c r="G407" s="378" t="s">
        <v>430</v>
      </c>
      <c r="H407" s="3"/>
      <c r="I407" s="103" t="s">
        <v>367</v>
      </c>
      <c r="K407" s="1"/>
      <c r="L407" s="1"/>
      <c r="M407" s="1"/>
      <c r="N407" s="1"/>
    </row>
    <row r="408" spans="1:14" ht="32.25" hidden="1" customHeight="1" x14ac:dyDescent="0.2">
      <c r="A408" s="188" t="s">
        <v>340</v>
      </c>
      <c r="B408" s="8">
        <v>12</v>
      </c>
      <c r="C408" s="197">
        <v>3000000</v>
      </c>
      <c r="D408" s="15">
        <v>3000000</v>
      </c>
      <c r="E408" s="187">
        <f>C408-D408</f>
        <v>0</v>
      </c>
      <c r="F408" s="11">
        <f>E408/C408</f>
        <v>0</v>
      </c>
      <c r="G408" s="378" t="s">
        <v>426</v>
      </c>
      <c r="H408" s="3"/>
      <c r="I408" s="103"/>
      <c r="K408" s="1"/>
      <c r="L408" s="1"/>
      <c r="M408" s="1"/>
      <c r="N408" s="1"/>
    </row>
    <row r="409" spans="1:14" ht="33.75" hidden="1" customHeight="1" x14ac:dyDescent="0.2">
      <c r="A409" s="189" t="s">
        <v>341</v>
      </c>
      <c r="B409" s="8">
        <v>1</v>
      </c>
      <c r="C409" s="197">
        <v>15000000</v>
      </c>
      <c r="D409" s="15">
        <v>0</v>
      </c>
      <c r="E409" s="187">
        <f>C409-D409</f>
        <v>15000000</v>
      </c>
      <c r="F409" s="11">
        <f>E409/C409</f>
        <v>1</v>
      </c>
      <c r="G409" s="377"/>
      <c r="H409" s="3"/>
      <c r="I409" s="103"/>
      <c r="K409" s="1"/>
      <c r="L409" s="1"/>
      <c r="M409" s="1"/>
      <c r="N409" s="1"/>
    </row>
    <row r="410" spans="1:14" ht="21.75" hidden="1" customHeight="1" x14ac:dyDescent="0.2">
      <c r="A410" s="823" t="s">
        <v>342</v>
      </c>
      <c r="B410" s="824"/>
      <c r="C410" s="217">
        <f>SUM(C406:C409)</f>
        <v>53000000</v>
      </c>
      <c r="D410" s="51">
        <f>SUM(D406:D409)</f>
        <v>38000000</v>
      </c>
      <c r="E410" s="51">
        <f>SUM(E406:E409)</f>
        <v>15000000</v>
      </c>
      <c r="F410" s="52">
        <f>E410/C410</f>
        <v>0.28301886792452829</v>
      </c>
      <c r="G410" s="367"/>
      <c r="H410" s="54"/>
      <c r="I410" s="108"/>
      <c r="K410" s="1"/>
      <c r="L410" s="1"/>
      <c r="M410" s="1"/>
      <c r="N410" s="1"/>
    </row>
    <row r="411" spans="1:14" ht="12.75" hidden="1" customHeight="1" x14ac:dyDescent="0.2">
      <c r="A411" s="2" t="s">
        <v>62</v>
      </c>
      <c r="B411" s="957" t="s">
        <v>43</v>
      </c>
      <c r="C411" s="958"/>
      <c r="D411" s="958"/>
      <c r="E411" s="958"/>
      <c r="F411" s="958"/>
      <c r="G411" s="958"/>
      <c r="H411" s="958"/>
      <c r="I411" s="959"/>
      <c r="K411" s="1"/>
      <c r="L411" s="1"/>
      <c r="M411" s="1"/>
      <c r="N411" s="1"/>
    </row>
    <row r="412" spans="1:14" ht="12.75" hidden="1" customHeight="1" x14ac:dyDescent="0.2">
      <c r="A412" s="2" t="s">
        <v>3</v>
      </c>
      <c r="B412" s="957" t="s">
        <v>162</v>
      </c>
      <c r="C412" s="958"/>
      <c r="D412" s="958"/>
      <c r="E412" s="958"/>
      <c r="F412" s="958"/>
      <c r="G412" s="958"/>
      <c r="H412" s="958"/>
      <c r="I412" s="959"/>
      <c r="K412" s="1"/>
      <c r="L412" s="1"/>
      <c r="M412" s="1"/>
      <c r="N412" s="1"/>
    </row>
    <row r="413" spans="1:14" ht="12.75" hidden="1" x14ac:dyDescent="0.2">
      <c r="A413" s="2" t="s">
        <v>5</v>
      </c>
      <c r="B413" s="960" t="s">
        <v>163</v>
      </c>
      <c r="C413" s="961"/>
      <c r="D413" s="961"/>
      <c r="E413" s="961"/>
      <c r="F413" s="961"/>
      <c r="G413" s="961"/>
      <c r="H413" s="961"/>
      <c r="I413" s="962"/>
      <c r="K413" s="1"/>
      <c r="L413" s="1"/>
      <c r="M413" s="1"/>
      <c r="N413" s="1"/>
    </row>
    <row r="414" spans="1:14" ht="12.75" hidden="1" x14ac:dyDescent="0.2">
      <c r="A414" s="2" t="s">
        <v>6</v>
      </c>
      <c r="B414" s="960" t="s">
        <v>144</v>
      </c>
      <c r="C414" s="961"/>
      <c r="D414" s="961"/>
      <c r="E414" s="961"/>
      <c r="F414" s="961"/>
      <c r="G414" s="961"/>
      <c r="H414" s="961"/>
      <c r="I414" s="962"/>
      <c r="K414" s="1"/>
      <c r="L414" s="1"/>
      <c r="M414" s="1"/>
      <c r="N414" s="1"/>
    </row>
    <row r="415" spans="1:14" ht="12.75" hidden="1" x14ac:dyDescent="0.2">
      <c r="A415" s="2" t="s">
        <v>8</v>
      </c>
      <c r="B415" s="960" t="s">
        <v>164</v>
      </c>
      <c r="C415" s="961"/>
      <c r="D415" s="961"/>
      <c r="E415" s="961"/>
      <c r="F415" s="961"/>
      <c r="G415" s="961"/>
      <c r="H415" s="961"/>
      <c r="I415" s="962"/>
      <c r="K415" s="1"/>
      <c r="L415" s="1"/>
      <c r="M415" s="1"/>
      <c r="N415" s="1"/>
    </row>
    <row r="416" spans="1:14" ht="38.25" hidden="1" x14ac:dyDescent="0.2">
      <c r="A416" s="296" t="s">
        <v>10</v>
      </c>
      <c r="B416" s="3" t="s">
        <v>11</v>
      </c>
      <c r="C416" s="193" t="s">
        <v>12</v>
      </c>
      <c r="D416" s="4" t="s">
        <v>13</v>
      </c>
      <c r="E416" s="5" t="s">
        <v>14</v>
      </c>
      <c r="F416" s="3" t="s">
        <v>15</v>
      </c>
      <c r="G416" s="377" t="s">
        <v>16</v>
      </c>
      <c r="H416" s="3" t="s">
        <v>17</v>
      </c>
      <c r="I416" s="103" t="s">
        <v>18</v>
      </c>
      <c r="K416" s="1"/>
      <c r="L416" s="1"/>
      <c r="M416" s="1"/>
      <c r="N416" s="1"/>
    </row>
    <row r="417" spans="1:14" s="27" customFormat="1" ht="72.75" hidden="1" customHeight="1" x14ac:dyDescent="0.2">
      <c r="A417" s="123" t="s">
        <v>343</v>
      </c>
      <c r="B417" s="286">
        <v>1</v>
      </c>
      <c r="C417" s="198">
        <v>14000000</v>
      </c>
      <c r="D417" s="35">
        <v>11016801</v>
      </c>
      <c r="E417" s="28">
        <f>C417-D417</f>
        <v>2983199</v>
      </c>
      <c r="F417" s="29">
        <f>E417/C417</f>
        <v>0.21308564285714285</v>
      </c>
      <c r="G417" s="382"/>
      <c r="H417" s="30"/>
      <c r="I417" s="106"/>
    </row>
    <row r="418" spans="1:14" hidden="1" x14ac:dyDescent="0.2">
      <c r="A418" s="914" t="s">
        <v>165</v>
      </c>
      <c r="B418" s="915"/>
      <c r="C418" s="217">
        <f>SUM(C417:C417)</f>
        <v>14000000</v>
      </c>
      <c r="D418" s="51">
        <f>SUM(D417:D417)</f>
        <v>11016801</v>
      </c>
      <c r="E418" s="51">
        <f>SUM(E417:E417)</f>
        <v>2983199</v>
      </c>
      <c r="F418" s="52">
        <f>E418/C418</f>
        <v>0.21308564285714285</v>
      </c>
      <c r="G418" s="367"/>
      <c r="H418" s="54"/>
      <c r="I418" s="108"/>
      <c r="K418" s="1"/>
      <c r="L418" s="1"/>
      <c r="M418" s="1"/>
      <c r="N418" s="1"/>
    </row>
    <row r="419" spans="1:14" ht="12.75" hidden="1" customHeight="1" x14ac:dyDescent="0.2">
      <c r="A419" s="2" t="s">
        <v>62</v>
      </c>
      <c r="B419" s="957" t="s">
        <v>43</v>
      </c>
      <c r="C419" s="958"/>
      <c r="D419" s="958"/>
      <c r="E419" s="958"/>
      <c r="F419" s="958"/>
      <c r="G419" s="958"/>
      <c r="H419" s="958"/>
      <c r="I419" s="959"/>
    </row>
    <row r="420" spans="1:14" ht="12.75" hidden="1" customHeight="1" x14ac:dyDescent="0.2">
      <c r="A420" s="2" t="s">
        <v>3</v>
      </c>
      <c r="B420" s="957" t="s">
        <v>166</v>
      </c>
      <c r="C420" s="958"/>
      <c r="D420" s="958"/>
      <c r="E420" s="958"/>
      <c r="F420" s="958"/>
      <c r="G420" s="958"/>
      <c r="H420" s="958"/>
      <c r="I420" s="959"/>
    </row>
    <row r="421" spans="1:14" ht="12.75" hidden="1" x14ac:dyDescent="0.2">
      <c r="A421" s="2" t="s">
        <v>5</v>
      </c>
      <c r="B421" s="960" t="s">
        <v>167</v>
      </c>
      <c r="C421" s="961"/>
      <c r="D421" s="961"/>
      <c r="E421" s="961"/>
      <c r="F421" s="961"/>
      <c r="G421" s="961"/>
      <c r="H421" s="961"/>
      <c r="I421" s="962"/>
    </row>
    <row r="422" spans="1:14" ht="12.75" hidden="1" x14ac:dyDescent="0.2">
      <c r="A422" s="2" t="s">
        <v>6</v>
      </c>
      <c r="B422" s="960" t="s">
        <v>144</v>
      </c>
      <c r="C422" s="961"/>
      <c r="D422" s="961"/>
      <c r="E422" s="961"/>
      <c r="F422" s="961"/>
      <c r="G422" s="961"/>
      <c r="H422" s="961"/>
      <c r="I422" s="962"/>
    </row>
    <row r="423" spans="1:14" ht="12.75" hidden="1" x14ac:dyDescent="0.2">
      <c r="A423" s="2" t="s">
        <v>8</v>
      </c>
      <c r="B423" s="960" t="s">
        <v>168</v>
      </c>
      <c r="C423" s="961"/>
      <c r="D423" s="961"/>
      <c r="E423" s="961"/>
      <c r="F423" s="961"/>
      <c r="G423" s="961"/>
      <c r="H423" s="961"/>
      <c r="I423" s="962"/>
    </row>
    <row r="424" spans="1:14" ht="38.25" hidden="1" x14ac:dyDescent="0.2">
      <c r="A424" s="296" t="s">
        <v>10</v>
      </c>
      <c r="B424" s="3" t="s">
        <v>11</v>
      </c>
      <c r="C424" s="193" t="s">
        <v>12</v>
      </c>
      <c r="D424" s="4" t="s">
        <v>13</v>
      </c>
      <c r="E424" s="5" t="s">
        <v>14</v>
      </c>
      <c r="F424" s="3" t="s">
        <v>15</v>
      </c>
      <c r="G424" s="377" t="s">
        <v>16</v>
      </c>
      <c r="H424" s="3" t="s">
        <v>17</v>
      </c>
      <c r="I424" s="103" t="s">
        <v>18</v>
      </c>
    </row>
    <row r="425" spans="1:14" ht="12.75" hidden="1" x14ac:dyDescent="0.2">
      <c r="A425" s="820" t="s">
        <v>169</v>
      </c>
      <c r="B425" s="821"/>
      <c r="C425" s="821"/>
      <c r="D425" s="821"/>
      <c r="E425" s="821"/>
      <c r="F425" s="821"/>
      <c r="G425" s="821"/>
      <c r="H425" s="821"/>
      <c r="I425" s="822"/>
    </row>
    <row r="426" spans="1:14" s="55" customFormat="1" ht="26.25" hidden="1" customHeight="1" x14ac:dyDescent="0.25">
      <c r="A426" s="900" t="s">
        <v>170</v>
      </c>
      <c r="B426" s="901"/>
      <c r="C426" s="901"/>
      <c r="D426" s="901"/>
      <c r="E426" s="901"/>
      <c r="F426" s="901"/>
      <c r="G426" s="901"/>
      <c r="H426" s="901"/>
      <c r="I426" s="902"/>
      <c r="K426" s="56"/>
      <c r="L426" s="56"/>
      <c r="M426" s="56"/>
      <c r="N426" s="56"/>
    </row>
    <row r="427" spans="1:14" s="55" customFormat="1" ht="26.25" hidden="1" customHeight="1" x14ac:dyDescent="0.25">
      <c r="A427" s="30" t="s">
        <v>344</v>
      </c>
      <c r="B427" s="126">
        <v>200</v>
      </c>
      <c r="C427" s="191">
        <v>70000000</v>
      </c>
      <c r="D427" s="35">
        <v>70000000</v>
      </c>
      <c r="E427" s="28">
        <f>C427-D427</f>
        <v>0</v>
      </c>
      <c r="F427" s="29">
        <f>E427/C427</f>
        <v>0</v>
      </c>
      <c r="G427" s="383"/>
      <c r="H427" s="286"/>
      <c r="I427" s="109"/>
      <c r="K427" s="56"/>
      <c r="L427" s="56"/>
      <c r="M427" s="56"/>
      <c r="N427" s="56"/>
    </row>
    <row r="428" spans="1:14" s="27" customFormat="1" ht="26.25" hidden="1" customHeight="1" x14ac:dyDescent="0.2">
      <c r="A428" s="30" t="s">
        <v>345</v>
      </c>
      <c r="B428" s="126">
        <v>20</v>
      </c>
      <c r="C428" s="191">
        <v>16000000</v>
      </c>
      <c r="D428" s="35">
        <v>15806770</v>
      </c>
      <c r="E428" s="28">
        <f>C428-D428</f>
        <v>193230</v>
      </c>
      <c r="F428" s="29">
        <f>E428/C428</f>
        <v>1.2076875000000001E-2</v>
      </c>
      <c r="G428" s="383"/>
      <c r="H428" s="286"/>
      <c r="I428" s="109"/>
      <c r="K428" s="31"/>
      <c r="L428" s="31"/>
      <c r="M428" s="31"/>
      <c r="N428" s="31"/>
    </row>
    <row r="429" spans="1:14" s="27" customFormat="1" ht="26.25" hidden="1" customHeight="1" x14ac:dyDescent="0.2">
      <c r="A429" s="30" t="s">
        <v>360</v>
      </c>
      <c r="B429" s="126">
        <v>5</v>
      </c>
      <c r="C429" s="191">
        <v>4000000</v>
      </c>
      <c r="D429" s="35">
        <v>4000000</v>
      </c>
      <c r="E429" s="28">
        <f>C429-D429</f>
        <v>0</v>
      </c>
      <c r="F429" s="29">
        <f>E429/C429</f>
        <v>0</v>
      </c>
      <c r="G429" s="383"/>
      <c r="H429" s="286"/>
      <c r="I429" s="109"/>
      <c r="K429" s="31"/>
      <c r="L429" s="31"/>
      <c r="M429" s="31"/>
      <c r="N429" s="31"/>
    </row>
    <row r="430" spans="1:14" s="27" customFormat="1" ht="26.25" hidden="1" customHeight="1" x14ac:dyDescent="0.2">
      <c r="A430" s="30" t="s">
        <v>346</v>
      </c>
      <c r="B430" s="126">
        <v>2</v>
      </c>
      <c r="C430" s="191">
        <v>6000000</v>
      </c>
      <c r="D430" s="35">
        <v>0</v>
      </c>
      <c r="E430" s="28">
        <f>C430-D430</f>
        <v>6000000</v>
      </c>
      <c r="F430" s="29">
        <f>E430/C430</f>
        <v>1</v>
      </c>
      <c r="G430" s="383"/>
      <c r="H430" s="286"/>
      <c r="I430" s="109"/>
      <c r="K430" s="31"/>
      <c r="L430" s="31"/>
      <c r="M430" s="31"/>
      <c r="N430" s="31"/>
    </row>
    <row r="431" spans="1:14" s="27" customFormat="1" ht="26.25" hidden="1" customHeight="1" x14ac:dyDescent="0.2">
      <c r="A431" s="190" t="s">
        <v>347</v>
      </c>
      <c r="B431" s="126">
        <v>10</v>
      </c>
      <c r="C431" s="191">
        <v>10000000</v>
      </c>
      <c r="D431" s="35">
        <v>10000000</v>
      </c>
      <c r="E431" s="28">
        <f>C431-D431</f>
        <v>0</v>
      </c>
      <c r="F431" s="29">
        <f>E431/C431</f>
        <v>0</v>
      </c>
      <c r="G431" s="383"/>
      <c r="H431" s="286"/>
      <c r="I431" s="109"/>
      <c r="K431" s="31"/>
      <c r="L431" s="31"/>
      <c r="M431" s="31"/>
      <c r="N431" s="31"/>
    </row>
    <row r="432" spans="1:14" ht="26.25" hidden="1" customHeight="1" x14ac:dyDescent="0.2">
      <c r="A432" s="900" t="s">
        <v>171</v>
      </c>
      <c r="B432" s="901"/>
      <c r="C432" s="901"/>
      <c r="D432" s="901"/>
      <c r="E432" s="901"/>
      <c r="F432" s="901"/>
      <c r="G432" s="901"/>
      <c r="H432" s="901"/>
      <c r="I432" s="902"/>
    </row>
    <row r="433" spans="1:14" s="27" customFormat="1" ht="59.25" hidden="1" customHeight="1" x14ac:dyDescent="0.2">
      <c r="A433" s="30" t="s">
        <v>209</v>
      </c>
      <c r="B433" s="57">
        <v>1</v>
      </c>
      <c r="C433" s="163">
        <v>26500000</v>
      </c>
      <c r="D433" s="35">
        <v>0</v>
      </c>
      <c r="E433" s="28">
        <f>C433-D433</f>
        <v>26500000</v>
      </c>
      <c r="F433" s="29">
        <f>E433/C433</f>
        <v>1</v>
      </c>
      <c r="G433" s="383"/>
      <c r="H433" s="286"/>
      <c r="I433" s="192"/>
      <c r="K433" s="31"/>
      <c r="L433" s="31"/>
      <c r="M433" s="31"/>
      <c r="N433" s="31"/>
    </row>
    <row r="434" spans="1:14" ht="26.25" hidden="1" customHeight="1" x14ac:dyDescent="0.2">
      <c r="A434" s="900" t="s">
        <v>172</v>
      </c>
      <c r="B434" s="901"/>
      <c r="C434" s="901"/>
      <c r="D434" s="901"/>
      <c r="E434" s="901"/>
      <c r="F434" s="901"/>
      <c r="G434" s="901"/>
      <c r="H434" s="901"/>
      <c r="I434" s="902"/>
    </row>
    <row r="435" spans="1:14" s="27" customFormat="1" ht="54" hidden="1" customHeight="1" x14ac:dyDescent="0.2">
      <c r="A435" s="30" t="s">
        <v>173</v>
      </c>
      <c r="B435" s="126">
        <v>1</v>
      </c>
      <c r="C435" s="180">
        <v>10000000</v>
      </c>
      <c r="D435" s="35">
        <v>10000000</v>
      </c>
      <c r="E435" s="28">
        <f t="shared" ref="E435:E443" si="24">C435-D435</f>
        <v>0</v>
      </c>
      <c r="F435" s="29">
        <f t="shared" ref="F435:F444" si="25">E435/C435</f>
        <v>0</v>
      </c>
      <c r="G435" s="385" t="s">
        <v>431</v>
      </c>
      <c r="H435" s="116"/>
      <c r="I435" s="117"/>
      <c r="K435" s="31"/>
      <c r="L435" s="31"/>
      <c r="M435" s="31"/>
      <c r="N435" s="31"/>
    </row>
    <row r="436" spans="1:14" s="27" customFormat="1" ht="26.25" hidden="1" customHeight="1" x14ac:dyDescent="0.2">
      <c r="A436" s="30" t="s">
        <v>174</v>
      </c>
      <c r="B436" s="126">
        <v>1</v>
      </c>
      <c r="C436" s="180">
        <v>60000000</v>
      </c>
      <c r="D436" s="35">
        <v>60000000</v>
      </c>
      <c r="E436" s="28">
        <f t="shared" si="24"/>
        <v>0</v>
      </c>
      <c r="F436" s="29">
        <f t="shared" si="25"/>
        <v>0</v>
      </c>
      <c r="G436" s="385" t="s">
        <v>412</v>
      </c>
      <c r="H436" s="286"/>
      <c r="I436" s="117"/>
      <c r="K436" s="31"/>
      <c r="L436" s="31"/>
      <c r="M436" s="31"/>
      <c r="N436" s="31"/>
    </row>
    <row r="437" spans="1:14" s="27" customFormat="1" ht="26.25" hidden="1" customHeight="1" x14ac:dyDescent="0.2">
      <c r="A437" s="30" t="s">
        <v>175</v>
      </c>
      <c r="B437" s="126">
        <v>1</v>
      </c>
      <c r="C437" s="180">
        <v>69997205</v>
      </c>
      <c r="D437" s="35">
        <v>0</v>
      </c>
      <c r="E437" s="28">
        <f t="shared" si="24"/>
        <v>69997205</v>
      </c>
      <c r="F437" s="29">
        <f t="shared" si="25"/>
        <v>1</v>
      </c>
      <c r="G437" s="383"/>
      <c r="H437" s="7"/>
      <c r="I437" s="109"/>
      <c r="K437" s="31"/>
      <c r="L437" s="31"/>
      <c r="M437" s="31"/>
      <c r="N437" s="31"/>
    </row>
    <row r="438" spans="1:14" s="27" customFormat="1" ht="26.25" hidden="1" customHeight="1" x14ac:dyDescent="0.2">
      <c r="A438" s="30" t="s">
        <v>176</v>
      </c>
      <c r="B438" s="126">
        <v>1</v>
      </c>
      <c r="C438" s="163">
        <v>2000000</v>
      </c>
      <c r="D438" s="35">
        <v>2000000</v>
      </c>
      <c r="E438" s="28">
        <f t="shared" si="24"/>
        <v>0</v>
      </c>
      <c r="F438" s="29">
        <f t="shared" si="25"/>
        <v>0</v>
      </c>
      <c r="G438" s="384" t="s">
        <v>414</v>
      </c>
      <c r="H438" s="38"/>
      <c r="I438" s="109"/>
      <c r="K438" s="31"/>
      <c r="L438" s="31"/>
      <c r="M438" s="31"/>
      <c r="N438" s="31"/>
    </row>
    <row r="439" spans="1:14" s="27" customFormat="1" ht="26.25" hidden="1" customHeight="1" x14ac:dyDescent="0.2">
      <c r="A439" s="30" t="s">
        <v>177</v>
      </c>
      <c r="B439" s="126">
        <v>1</v>
      </c>
      <c r="C439" s="180">
        <v>180000000</v>
      </c>
      <c r="D439" s="35">
        <v>180000000</v>
      </c>
      <c r="E439" s="28">
        <f t="shared" si="24"/>
        <v>0</v>
      </c>
      <c r="F439" s="29">
        <f t="shared" si="25"/>
        <v>0</v>
      </c>
      <c r="G439" s="384"/>
      <c r="H439" s="38"/>
      <c r="I439" s="109"/>
      <c r="K439" s="31"/>
      <c r="L439" s="31"/>
      <c r="M439" s="31"/>
      <c r="N439" s="31"/>
    </row>
    <row r="440" spans="1:14" s="27" customFormat="1" ht="26.25" hidden="1" customHeight="1" x14ac:dyDescent="0.2">
      <c r="A440" s="30" t="s">
        <v>178</v>
      </c>
      <c r="B440" s="126">
        <v>8</v>
      </c>
      <c r="C440" s="180">
        <v>15000000</v>
      </c>
      <c r="D440" s="35">
        <v>0</v>
      </c>
      <c r="E440" s="28">
        <f t="shared" si="24"/>
        <v>15000000</v>
      </c>
      <c r="F440" s="29">
        <f t="shared" si="25"/>
        <v>1</v>
      </c>
      <c r="G440" s="384"/>
      <c r="H440" s="7"/>
      <c r="I440" s="109"/>
      <c r="K440" s="31"/>
      <c r="L440" s="31"/>
      <c r="M440" s="31"/>
      <c r="N440" s="31"/>
    </row>
    <row r="441" spans="1:14" s="27" customFormat="1" ht="14.25" hidden="1" x14ac:dyDescent="0.2">
      <c r="A441" s="30" t="s">
        <v>179</v>
      </c>
      <c r="B441" s="126">
        <v>1</v>
      </c>
      <c r="C441" s="180">
        <v>70000000</v>
      </c>
      <c r="D441" s="35">
        <v>70000000</v>
      </c>
      <c r="E441" s="28">
        <f t="shared" si="24"/>
        <v>0</v>
      </c>
      <c r="F441" s="29">
        <f t="shared" si="25"/>
        <v>0</v>
      </c>
      <c r="G441" s="384"/>
      <c r="H441" s="7"/>
      <c r="I441" s="117"/>
      <c r="K441" s="31"/>
      <c r="L441" s="31"/>
      <c r="M441" s="31"/>
      <c r="N441" s="31"/>
    </row>
    <row r="442" spans="1:14" s="27" customFormat="1" ht="93" hidden="1" customHeight="1" x14ac:dyDescent="0.2">
      <c r="A442" s="30" t="s">
        <v>180</v>
      </c>
      <c r="B442" s="126">
        <v>1</v>
      </c>
      <c r="C442" s="180">
        <v>210000000</v>
      </c>
      <c r="D442" s="35">
        <v>0</v>
      </c>
      <c r="E442" s="28">
        <f t="shared" si="24"/>
        <v>210000000</v>
      </c>
      <c r="F442" s="29">
        <f t="shared" si="25"/>
        <v>1</v>
      </c>
      <c r="G442" s="384"/>
      <c r="H442" s="7"/>
      <c r="I442" s="109"/>
      <c r="K442" s="31"/>
      <c r="L442" s="31"/>
      <c r="M442" s="31"/>
      <c r="N442" s="31"/>
    </row>
    <row r="443" spans="1:14" s="27" customFormat="1" ht="409.5" customHeight="1" x14ac:dyDescent="0.2">
      <c r="A443" s="30" t="s">
        <v>348</v>
      </c>
      <c r="B443" s="57">
        <v>13</v>
      </c>
      <c r="C443" s="241">
        <f>646841603-15827188</f>
        <v>631014415</v>
      </c>
      <c r="D443" s="35">
        <f>22025490+24726719+22025490+22025490+12085181+22025490+24726719+13015598+10325416+10325416+10325416+13810094+26486621+20900100+7939204+33761674+37902364+37902364+33761674+33761674+19950916+18524810+15827188+15827188+20971024+33761674+18524809+40600000</f>
        <v>623845803</v>
      </c>
      <c r="E443" s="28">
        <f t="shared" si="24"/>
        <v>7168612</v>
      </c>
      <c r="F443" s="29">
        <f t="shared" si="25"/>
        <v>1.1360456797171584E-2</v>
      </c>
      <c r="G443" s="384" t="s">
        <v>458</v>
      </c>
      <c r="H443" s="7"/>
      <c r="I443" s="109"/>
      <c r="K443" s="31"/>
      <c r="L443" s="31"/>
      <c r="M443" s="31"/>
      <c r="N443" s="31"/>
    </row>
    <row r="444" spans="1:14" s="27" customFormat="1" ht="159" customHeight="1" x14ac:dyDescent="0.2">
      <c r="A444" s="30" t="s">
        <v>349</v>
      </c>
      <c r="B444" s="57">
        <v>8</v>
      </c>
      <c r="C444" s="242">
        <v>258869102</v>
      </c>
      <c r="D444" s="35">
        <f>36678247+13015048+13015548+13015048+12350520+21880107+19665828+19665828+19950916+19950916+19950916</f>
        <v>209138922</v>
      </c>
      <c r="E444" s="28">
        <f>C444-D444</f>
        <v>49730180</v>
      </c>
      <c r="F444" s="29">
        <f t="shared" si="25"/>
        <v>0.19210550666645415</v>
      </c>
      <c r="G444" s="384" t="s">
        <v>443</v>
      </c>
      <c r="H444" s="7"/>
      <c r="I444" s="109"/>
      <c r="K444" s="23">
        <v>593849933</v>
      </c>
      <c r="L444" s="31"/>
      <c r="M444" s="31"/>
      <c r="N444" s="31"/>
    </row>
    <row r="445" spans="1:14" ht="25.5" hidden="1" customHeight="1" x14ac:dyDescent="0.2">
      <c r="A445" s="914" t="s">
        <v>181</v>
      </c>
      <c r="B445" s="915"/>
      <c r="C445" s="217">
        <f>SUM(C424:C444)</f>
        <v>1639380722</v>
      </c>
      <c r="D445" s="51">
        <f>SUM(D424:D444)</f>
        <v>1254791495</v>
      </c>
      <c r="E445" s="58">
        <f>C445-D445</f>
        <v>384589227</v>
      </c>
      <c r="F445" s="52">
        <f>E445/C445</f>
        <v>0.23459421099621788</v>
      </c>
      <c r="G445" s="367"/>
      <c r="H445" s="54"/>
      <c r="I445" s="108"/>
    </row>
    <row r="446" spans="1:14" ht="32.25" hidden="1" customHeight="1" thickBot="1" x14ac:dyDescent="0.25">
      <c r="A446" s="916" t="s">
        <v>182</v>
      </c>
      <c r="B446" s="917"/>
      <c r="C446" s="218">
        <f>C445+C418+C410+C399+C375</f>
        <v>2747645722</v>
      </c>
      <c r="D446" s="59">
        <f>D445+D418+D410+D399+D375</f>
        <v>2119933296</v>
      </c>
      <c r="E446" s="59">
        <f>E445+E418+E410+E399+E375</f>
        <v>627712426</v>
      </c>
      <c r="F446" s="60">
        <f>E446/C446</f>
        <v>0.22845464427018294</v>
      </c>
      <c r="G446" s="395"/>
      <c r="H446" s="62"/>
      <c r="I446" s="110"/>
    </row>
    <row r="447" spans="1:14" hidden="1" x14ac:dyDescent="0.2">
      <c r="A447" s="63"/>
      <c r="B447" s="64"/>
      <c r="C447" s="219"/>
      <c r="D447" s="65"/>
      <c r="E447" s="66"/>
      <c r="F447" s="67"/>
      <c r="G447" s="396"/>
      <c r="H447" s="69"/>
      <c r="I447" s="69"/>
    </row>
    <row r="448" spans="1:14" ht="15.75" hidden="1" thickBot="1" x14ac:dyDescent="0.25">
      <c r="B448" s="70"/>
      <c r="E448" s="72"/>
      <c r="F448" s="73"/>
      <c r="G448" s="397"/>
      <c r="H448" s="50"/>
      <c r="I448" s="111"/>
    </row>
    <row r="449" spans="1:14" ht="26.25" hidden="1" customHeight="1" thickBot="1" x14ac:dyDescent="0.25">
      <c r="A449" s="955" t="s">
        <v>183</v>
      </c>
      <c r="B449" s="956"/>
      <c r="C449" s="221">
        <f>C446+C364+C355+C346+C337+C294+C281+C271+C167+C128+C62+C20+C10+C261</f>
        <v>10234320277</v>
      </c>
      <c r="D449" s="221">
        <f>D446+D364+D355+D346+D337+D294+D281+D271+D167+D128+D62+D20+D10+D261</f>
        <v>8791259080</v>
      </c>
      <c r="E449" s="221">
        <f>E446+E364+E355+E346+E337+E294+E281+E271+E167+E128+E62+E20+E10+E261</f>
        <v>1443061197</v>
      </c>
      <c r="F449" s="75">
        <f>E449/C449</f>
        <v>0.14100215333724209</v>
      </c>
      <c r="G449" s="398"/>
      <c r="H449" s="77"/>
      <c r="I449" s="112"/>
    </row>
    <row r="450" spans="1:14" ht="15.75" hidden="1" thickBot="1" x14ac:dyDescent="0.25">
      <c r="B450" s="70"/>
      <c r="E450" s="72"/>
      <c r="F450" s="73"/>
      <c r="G450" s="397"/>
      <c r="H450" s="50"/>
      <c r="I450" s="111"/>
    </row>
    <row r="451" spans="1:14" ht="15" hidden="1" customHeight="1" thickBot="1" x14ac:dyDescent="0.25">
      <c r="A451" s="949" t="s">
        <v>184</v>
      </c>
      <c r="B451" s="950"/>
      <c r="C451" s="950"/>
      <c r="D451" s="950"/>
      <c r="E451" s="950"/>
      <c r="F451" s="951"/>
      <c r="G451" s="397"/>
      <c r="K451" s="1"/>
      <c r="L451" s="1"/>
      <c r="M451" s="1"/>
      <c r="N451" s="1"/>
    </row>
    <row r="452" spans="1:14" ht="39" hidden="1" thickBot="1" x14ac:dyDescent="0.25">
      <c r="A452" s="910" t="s">
        <v>8</v>
      </c>
      <c r="B452" s="952"/>
      <c r="C452" s="222" t="s">
        <v>185</v>
      </c>
      <c r="D452" s="78" t="s">
        <v>186</v>
      </c>
      <c r="E452" s="79" t="s">
        <v>417</v>
      </c>
      <c r="F452" s="368" t="s">
        <v>188</v>
      </c>
      <c r="G452" s="397"/>
      <c r="H452" s="201">
        <f>E449+D449</f>
        <v>10234320277</v>
      </c>
      <c r="K452" s="1"/>
      <c r="L452" s="1"/>
      <c r="M452" s="1"/>
      <c r="N452" s="1"/>
    </row>
    <row r="453" spans="1:14" ht="12.75" hidden="1" customHeight="1" x14ac:dyDescent="0.2">
      <c r="A453" s="953" t="s">
        <v>0</v>
      </c>
      <c r="B453" s="954"/>
      <c r="C453" s="223">
        <f>C10</f>
        <v>109323515</v>
      </c>
      <c r="D453" s="304">
        <f>D10</f>
        <v>109323515</v>
      </c>
      <c r="E453" s="305">
        <f>E10</f>
        <v>0</v>
      </c>
      <c r="F453" s="270">
        <f>D453/C453</f>
        <v>1</v>
      </c>
      <c r="G453" s="397"/>
      <c r="K453" s="1"/>
      <c r="L453" s="1"/>
      <c r="M453" s="1"/>
      <c r="N453" s="1"/>
    </row>
    <row r="454" spans="1:14" ht="12.75" hidden="1" customHeight="1" x14ac:dyDescent="0.2">
      <c r="A454" s="905" t="s">
        <v>20</v>
      </c>
      <c r="B454" s="907"/>
      <c r="C454" s="196">
        <f>C20</f>
        <v>611614521</v>
      </c>
      <c r="D454" s="306">
        <f>D20</f>
        <v>611614521</v>
      </c>
      <c r="E454" s="309">
        <f>E20</f>
        <v>0</v>
      </c>
      <c r="F454" s="270">
        <f t="shared" ref="F454:F473" si="26">D454/C454</f>
        <v>1</v>
      </c>
      <c r="G454" s="397"/>
      <c r="K454" s="1"/>
      <c r="L454" s="1"/>
      <c r="M454" s="1"/>
      <c r="N454" s="1"/>
    </row>
    <row r="455" spans="1:14" ht="12.75" hidden="1" customHeight="1" x14ac:dyDescent="0.2">
      <c r="A455" s="905" t="s">
        <v>29</v>
      </c>
      <c r="B455" s="907"/>
      <c r="C455" s="308">
        <f>C62</f>
        <v>970965156</v>
      </c>
      <c r="D455" s="306">
        <f>D62</f>
        <v>930950329</v>
      </c>
      <c r="E455" s="310">
        <f>E62</f>
        <v>40014827</v>
      </c>
      <c r="F455" s="270">
        <f t="shared" si="26"/>
        <v>0.95878860662225451</v>
      </c>
      <c r="G455" s="397"/>
      <c r="K455" s="1"/>
      <c r="L455" s="1"/>
      <c r="M455" s="1"/>
      <c r="N455" s="1"/>
    </row>
    <row r="456" spans="1:14" ht="12.75" hidden="1" customHeight="1" x14ac:dyDescent="0.2">
      <c r="A456" s="905" t="s">
        <v>35</v>
      </c>
      <c r="B456" s="907"/>
      <c r="C456" s="308">
        <f>C346</f>
        <v>177470241</v>
      </c>
      <c r="D456" s="308">
        <f>D346</f>
        <v>86056774</v>
      </c>
      <c r="E456" s="308">
        <f>E346</f>
        <v>91413467</v>
      </c>
      <c r="F456" s="270">
        <f t="shared" si="26"/>
        <v>0.48490819370668459</v>
      </c>
      <c r="G456" s="397"/>
      <c r="K456" s="1"/>
      <c r="L456" s="1"/>
      <c r="M456" s="1"/>
      <c r="N456" s="1"/>
    </row>
    <row r="457" spans="1:14" ht="12.75" hidden="1" customHeight="1" x14ac:dyDescent="0.2">
      <c r="A457" s="905" t="s">
        <v>40</v>
      </c>
      <c r="B457" s="907"/>
      <c r="C457" s="308">
        <f>C355</f>
        <v>119818431</v>
      </c>
      <c r="D457" s="308">
        <f>D355</f>
        <v>110448938</v>
      </c>
      <c r="E457" s="308">
        <f>E355</f>
        <v>9369493</v>
      </c>
      <c r="F457" s="270">
        <f t="shared" si="26"/>
        <v>0.92180257309495228</v>
      </c>
      <c r="G457" s="397"/>
      <c r="K457" s="1"/>
      <c r="L457" s="1"/>
      <c r="M457" s="1"/>
      <c r="N457" s="1"/>
    </row>
    <row r="458" spans="1:14" hidden="1" x14ac:dyDescent="0.2">
      <c r="A458" s="905" t="s">
        <v>42</v>
      </c>
      <c r="B458" s="907"/>
      <c r="C458" s="308">
        <v>0</v>
      </c>
      <c r="D458" s="306">
        <v>0</v>
      </c>
      <c r="E458" s="307">
        <v>0</v>
      </c>
      <c r="F458" s="270">
        <v>0</v>
      </c>
      <c r="G458" s="397"/>
      <c r="K458" s="1"/>
      <c r="L458" s="1"/>
      <c r="M458" s="1"/>
      <c r="N458" s="1"/>
    </row>
    <row r="459" spans="1:14" hidden="1" x14ac:dyDescent="0.2">
      <c r="A459" s="905" t="s">
        <v>44</v>
      </c>
      <c r="B459" s="907"/>
      <c r="C459" s="308">
        <f>C128</f>
        <v>1060731007</v>
      </c>
      <c r="D459" s="308">
        <f>D128</f>
        <v>983549991</v>
      </c>
      <c r="E459" s="308">
        <f>E128</f>
        <v>77181016</v>
      </c>
      <c r="F459" s="270">
        <f t="shared" si="26"/>
        <v>0.92723789962708236</v>
      </c>
      <c r="G459" s="397"/>
      <c r="K459" s="1"/>
      <c r="L459" s="1"/>
      <c r="M459" s="1"/>
      <c r="N459" s="1"/>
    </row>
    <row r="460" spans="1:14" hidden="1" x14ac:dyDescent="0.2">
      <c r="A460" s="905" t="s">
        <v>61</v>
      </c>
      <c r="B460" s="907"/>
      <c r="C460" s="308">
        <f>C167+5000000</f>
        <v>1295101809</v>
      </c>
      <c r="D460" s="308">
        <f>D167</f>
        <v>1274971509</v>
      </c>
      <c r="E460" s="308">
        <f>E167</f>
        <v>15130300</v>
      </c>
      <c r="F460" s="270">
        <f t="shared" si="26"/>
        <v>0.98445658877154729</v>
      </c>
      <c r="G460" s="397"/>
      <c r="K460" s="1"/>
      <c r="L460" s="1"/>
      <c r="M460" s="1"/>
      <c r="N460" s="1"/>
    </row>
    <row r="461" spans="1:14" hidden="1" x14ac:dyDescent="0.2">
      <c r="A461" s="905" t="s">
        <v>73</v>
      </c>
      <c r="B461" s="907"/>
      <c r="C461" s="308">
        <f>C281</f>
        <v>333845141</v>
      </c>
      <c r="D461" s="308">
        <f>D281</f>
        <v>323714334</v>
      </c>
      <c r="E461" s="308">
        <f>E281</f>
        <v>10130807</v>
      </c>
      <c r="F461" s="270">
        <f t="shared" si="26"/>
        <v>0.96965417268121934</v>
      </c>
      <c r="G461" s="397"/>
      <c r="K461" s="1"/>
      <c r="L461" s="1"/>
      <c r="M461" s="1"/>
      <c r="N461" s="1"/>
    </row>
    <row r="462" spans="1:14" hidden="1" x14ac:dyDescent="0.2">
      <c r="A462" s="905" t="s">
        <v>189</v>
      </c>
      <c r="B462" s="907"/>
      <c r="C462" s="308">
        <f>C239</f>
        <v>390985973</v>
      </c>
      <c r="D462" s="308">
        <f>D239</f>
        <v>243221014</v>
      </c>
      <c r="E462" s="308">
        <f>E239</f>
        <v>147764959</v>
      </c>
      <c r="F462" s="270">
        <f t="shared" si="26"/>
        <v>0.62207094575231736</v>
      </c>
      <c r="G462" s="397"/>
      <c r="K462" s="1"/>
      <c r="L462" s="1"/>
      <c r="M462" s="1"/>
      <c r="N462" s="1"/>
    </row>
    <row r="463" spans="1:14" hidden="1" x14ac:dyDescent="0.2">
      <c r="A463" s="905" t="s">
        <v>190</v>
      </c>
      <c r="B463" s="907"/>
      <c r="C463" s="308">
        <f>C211</f>
        <v>382747630</v>
      </c>
      <c r="D463" s="308">
        <f>D211</f>
        <v>377924573</v>
      </c>
      <c r="E463" s="308">
        <f>E211</f>
        <v>4823057</v>
      </c>
      <c r="F463" s="270">
        <f t="shared" si="26"/>
        <v>0.9873988586160547</v>
      </c>
      <c r="G463" s="397"/>
      <c r="K463" s="1"/>
      <c r="L463" s="1"/>
      <c r="M463" s="1"/>
      <c r="N463" s="1"/>
    </row>
    <row r="464" spans="1:14" hidden="1" x14ac:dyDescent="0.2">
      <c r="A464" s="905" t="s">
        <v>191</v>
      </c>
      <c r="B464" s="907"/>
      <c r="C464" s="308">
        <f>C227</f>
        <v>514660898</v>
      </c>
      <c r="D464" s="308">
        <f>D227</f>
        <v>477814634</v>
      </c>
      <c r="E464" s="308">
        <f>E227</f>
        <v>36846264</v>
      </c>
      <c r="F464" s="270">
        <f t="shared" si="26"/>
        <v>0.9284067156778637</v>
      </c>
      <c r="G464" s="397"/>
      <c r="K464" s="1"/>
      <c r="L464" s="1"/>
      <c r="M464" s="1"/>
      <c r="N464" s="1"/>
    </row>
    <row r="465" spans="1:14" hidden="1" x14ac:dyDescent="0.2">
      <c r="A465" s="905" t="s">
        <v>192</v>
      </c>
      <c r="B465" s="907"/>
      <c r="C465" s="308">
        <f>C247</f>
        <v>80207622</v>
      </c>
      <c r="D465" s="308">
        <f>D247</f>
        <v>80964297</v>
      </c>
      <c r="E465" s="308">
        <f>E247</f>
        <v>-756675</v>
      </c>
      <c r="F465" s="270">
        <f t="shared" si="26"/>
        <v>1.0094339537955632</v>
      </c>
      <c r="G465" s="397"/>
      <c r="K465" s="1"/>
      <c r="L465" s="1"/>
      <c r="M465" s="1"/>
      <c r="N465" s="1"/>
    </row>
    <row r="466" spans="1:14" ht="15" hidden="1" customHeight="1" x14ac:dyDescent="0.2">
      <c r="A466" s="905" t="s">
        <v>193</v>
      </c>
      <c r="B466" s="907"/>
      <c r="C466" s="308" t="e">
        <v>#NAME?</v>
      </c>
      <c r="D466" s="306"/>
      <c r="E466" s="307" t="e">
        <v>#NAME?</v>
      </c>
      <c r="F466" s="270" t="e">
        <f t="shared" si="26"/>
        <v>#NAME?</v>
      </c>
      <c r="G466" s="397"/>
      <c r="K466" s="1"/>
      <c r="L466" s="1"/>
      <c r="M466" s="1"/>
      <c r="N466" s="1"/>
    </row>
    <row r="467" spans="1:14" hidden="1" x14ac:dyDescent="0.2">
      <c r="A467" s="905" t="s">
        <v>194</v>
      </c>
      <c r="B467" s="907"/>
      <c r="C467" s="308">
        <f>C260</f>
        <v>244010492</v>
      </c>
      <c r="D467" s="308">
        <f>D260</f>
        <v>244010492</v>
      </c>
      <c r="E467" s="308">
        <f>E260</f>
        <v>0</v>
      </c>
      <c r="F467" s="270">
        <f t="shared" si="26"/>
        <v>1</v>
      </c>
      <c r="G467" s="397"/>
      <c r="K467" s="1"/>
      <c r="L467" s="1"/>
      <c r="M467" s="1"/>
      <c r="N467" s="1"/>
    </row>
    <row r="468" spans="1:14" hidden="1" x14ac:dyDescent="0.2">
      <c r="A468" s="905" t="s">
        <v>115</v>
      </c>
      <c r="B468" s="907"/>
      <c r="C468" s="308">
        <f>C271</f>
        <v>8500000</v>
      </c>
      <c r="D468" s="308">
        <f>D271</f>
        <v>5000000</v>
      </c>
      <c r="E468" s="308">
        <f>E271</f>
        <v>3500000</v>
      </c>
      <c r="F468" s="270">
        <f t="shared" si="26"/>
        <v>0.58823529411764708</v>
      </c>
      <c r="G468" s="399"/>
      <c r="K468" s="1"/>
      <c r="L468" s="1"/>
      <c r="M468" s="1"/>
      <c r="N468" s="1"/>
    </row>
    <row r="469" spans="1:14" hidden="1" x14ac:dyDescent="0.2">
      <c r="A469" s="905" t="s">
        <v>195</v>
      </c>
      <c r="B469" s="907"/>
      <c r="C469" s="308">
        <f>C294</f>
        <v>241009314</v>
      </c>
      <c r="D469" s="308">
        <f>D294</f>
        <v>225348830</v>
      </c>
      <c r="E469" s="308">
        <f>E294</f>
        <v>15660484</v>
      </c>
      <c r="F469" s="270">
        <f t="shared" si="26"/>
        <v>0.93502124984265134</v>
      </c>
      <c r="G469" s="397"/>
      <c r="K469" s="1"/>
      <c r="L469" s="1"/>
      <c r="M469" s="1"/>
      <c r="N469" s="1"/>
    </row>
    <row r="470" spans="1:14" hidden="1" x14ac:dyDescent="0.2">
      <c r="A470" s="905" t="s">
        <v>130</v>
      </c>
      <c r="B470" s="907"/>
      <c r="C470" s="308">
        <f>C337</f>
        <v>945682805</v>
      </c>
      <c r="D470" s="308">
        <f>D337</f>
        <v>581412033</v>
      </c>
      <c r="E470" s="308">
        <f>E337</f>
        <v>364270772</v>
      </c>
      <c r="F470" s="270">
        <f t="shared" si="26"/>
        <v>0.61480660315061986</v>
      </c>
      <c r="G470" s="397"/>
      <c r="K470" s="1"/>
      <c r="L470" s="1"/>
      <c r="M470" s="1"/>
      <c r="N470" s="1"/>
    </row>
    <row r="471" spans="1:14" ht="15.75" hidden="1" thickBot="1" x14ac:dyDescent="0.25">
      <c r="A471" s="905" t="s">
        <v>196</v>
      </c>
      <c r="B471" s="907"/>
      <c r="C471" s="308">
        <f>C446</f>
        <v>2747645722</v>
      </c>
      <c r="D471" s="306">
        <f>D446</f>
        <v>2119933296</v>
      </c>
      <c r="E471" s="311">
        <f>E446</f>
        <v>627712426</v>
      </c>
      <c r="F471" s="270">
        <f t="shared" si="26"/>
        <v>0.77154535572981708</v>
      </c>
      <c r="G471" s="397"/>
      <c r="K471" s="1"/>
      <c r="L471" s="1"/>
      <c r="M471" s="1"/>
      <c r="N471" s="1"/>
    </row>
    <row r="472" spans="1:14" ht="15.75" hidden="1" customHeight="1" x14ac:dyDescent="0.25">
      <c r="A472" s="905" t="s">
        <v>197</v>
      </c>
      <c r="B472" s="907"/>
      <c r="C472" s="224" t="e">
        <f>#REF!</f>
        <v>#REF!</v>
      </c>
      <c r="D472" s="81"/>
      <c r="E472" s="85" t="e">
        <f>#REF!</f>
        <v>#REF!</v>
      </c>
      <c r="F472" s="270" t="e">
        <f t="shared" si="26"/>
        <v>#REF!</v>
      </c>
      <c r="K472" s="1"/>
      <c r="L472" s="1"/>
      <c r="M472" s="1"/>
      <c r="N472" s="1"/>
    </row>
    <row r="473" spans="1:14" ht="15.75" hidden="1" customHeight="1" x14ac:dyDescent="0.25">
      <c r="A473" s="946" t="s">
        <v>198</v>
      </c>
      <c r="B473" s="947"/>
      <c r="C473" s="225" t="e">
        <f>#REF!</f>
        <v>#REF!</v>
      </c>
      <c r="D473" s="86"/>
      <c r="E473" s="87" t="e">
        <f>#REF!</f>
        <v>#REF!</v>
      </c>
      <c r="F473" s="301" t="e">
        <f t="shared" si="26"/>
        <v>#REF!</v>
      </c>
      <c r="K473" s="1"/>
      <c r="L473" s="1"/>
      <c r="M473" s="1"/>
      <c r="N473" s="1"/>
    </row>
    <row r="474" spans="1:14" ht="22.5" hidden="1" customHeight="1" thickBot="1" x14ac:dyDescent="0.3">
      <c r="A474" s="910" t="s">
        <v>183</v>
      </c>
      <c r="B474" s="948"/>
      <c r="C474" s="303">
        <f>C453+C454+C455+C456+C457+C458+C459+C460+C461+C462+C463+C464+C465+C467+C468+C469+C470+C471</f>
        <v>10234320277</v>
      </c>
      <c r="D474" s="302">
        <f>D453+D454+D455+D456+D457+D458+D459+D460+D461+D462+D463+D464+D465+D467+D468+D469+D470+D471</f>
        <v>8786259080</v>
      </c>
      <c r="E474" s="312">
        <f>C474-D474</f>
        <v>1448061197</v>
      </c>
      <c r="F474" s="314">
        <f>D474/C474</f>
        <v>0.85850929443215818</v>
      </c>
      <c r="K474" s="1"/>
      <c r="L474" s="1"/>
      <c r="M474" s="1"/>
      <c r="N474" s="1"/>
    </row>
    <row r="475" spans="1:14" hidden="1" x14ac:dyDescent="0.25"/>
    <row r="476" spans="1:14" hidden="1" x14ac:dyDescent="0.25"/>
    <row r="477" spans="1:14" hidden="1" x14ac:dyDescent="0.25">
      <c r="C477" s="220">
        <v>10118616014</v>
      </c>
      <c r="D477" s="71">
        <f>E474+D474</f>
        <v>10234320277</v>
      </c>
    </row>
    <row r="478" spans="1:14" hidden="1" x14ac:dyDescent="0.25"/>
    <row r="479" spans="1:14" hidden="1" x14ac:dyDescent="0.25">
      <c r="C479" s="220">
        <f>C477-D477</f>
        <v>-115704263</v>
      </c>
    </row>
    <row r="480" spans="1:14" hidden="1" x14ac:dyDescent="0.25"/>
    <row r="481" spans="2:14" ht="12.75" hidden="1" x14ac:dyDescent="0.2">
      <c r="B481" s="1"/>
      <c r="C481" s="1"/>
      <c r="D481" s="1"/>
      <c r="E481" s="1"/>
      <c r="F481" s="1"/>
      <c r="G481" s="1"/>
      <c r="I481" s="1"/>
      <c r="K481" s="1"/>
      <c r="L481" s="1"/>
      <c r="M481" s="1"/>
      <c r="N481" s="1"/>
    </row>
    <row r="482" spans="2:14" ht="12.75" hidden="1" x14ac:dyDescent="0.2">
      <c r="B482" s="1"/>
      <c r="C482" s="1"/>
      <c r="D482" s="1"/>
      <c r="E482" s="1"/>
      <c r="F482" s="1"/>
      <c r="G482" s="1"/>
      <c r="I482" s="1"/>
      <c r="K482" s="1"/>
      <c r="L482" s="1"/>
      <c r="M482" s="1"/>
      <c r="N482" s="1"/>
    </row>
    <row r="483" spans="2:14" ht="12.75" hidden="1" x14ac:dyDescent="0.2">
      <c r="B483" s="1"/>
      <c r="C483" s="1"/>
      <c r="D483" s="1"/>
      <c r="E483" s="1"/>
      <c r="F483" s="1"/>
      <c r="G483" s="1"/>
      <c r="I483" s="1"/>
      <c r="K483" s="1"/>
      <c r="L483" s="1"/>
      <c r="M483" s="1"/>
      <c r="N483" s="1"/>
    </row>
    <row r="484" spans="2:14" ht="12.75" hidden="1" x14ac:dyDescent="0.2">
      <c r="B484" s="1"/>
      <c r="C484" s="1"/>
      <c r="D484" s="1"/>
      <c r="E484" s="1"/>
      <c r="F484" s="1"/>
      <c r="G484" s="1"/>
      <c r="I484" s="1"/>
      <c r="K484" s="1"/>
      <c r="L484" s="1"/>
      <c r="M484" s="1"/>
      <c r="N484" s="1"/>
    </row>
    <row r="485" spans="2:14" ht="12.75" hidden="1" x14ac:dyDescent="0.2">
      <c r="B485" s="1"/>
      <c r="C485" s="1"/>
      <c r="D485" s="1"/>
      <c r="E485" s="1"/>
      <c r="F485" s="1"/>
      <c r="G485" s="1"/>
      <c r="I485" s="1"/>
      <c r="K485" s="1"/>
      <c r="L485" s="1"/>
      <c r="M485" s="1"/>
      <c r="N485" s="1"/>
    </row>
    <row r="486" spans="2:14" ht="12.75" hidden="1" x14ac:dyDescent="0.2">
      <c r="B486" s="1"/>
      <c r="C486" s="1"/>
      <c r="D486" s="1"/>
      <c r="E486" s="1"/>
      <c r="F486" s="1"/>
      <c r="G486" s="1"/>
      <c r="I486" s="1"/>
      <c r="K486" s="1"/>
      <c r="L486" s="1"/>
      <c r="M486" s="1"/>
      <c r="N486" s="1"/>
    </row>
    <row r="487" spans="2:14" ht="12.75" hidden="1" x14ac:dyDescent="0.2">
      <c r="B487" s="1"/>
      <c r="C487" s="1"/>
      <c r="D487" s="1"/>
      <c r="E487" s="1"/>
      <c r="F487" s="1"/>
      <c r="G487" s="1"/>
      <c r="I487" s="1"/>
      <c r="K487" s="1"/>
      <c r="L487" s="1"/>
      <c r="M487" s="1"/>
      <c r="N487" s="1"/>
    </row>
    <row r="488" spans="2:14" ht="12.75" hidden="1" x14ac:dyDescent="0.2">
      <c r="B488" s="1"/>
      <c r="C488" s="1"/>
      <c r="D488" s="1"/>
      <c r="E488" s="1"/>
      <c r="F488" s="1"/>
      <c r="G488" s="1"/>
      <c r="I488" s="1"/>
      <c r="K488" s="1"/>
      <c r="L488" s="1"/>
      <c r="M488" s="1"/>
      <c r="N488" s="1"/>
    </row>
    <row r="489" spans="2:14" ht="12.75" hidden="1" x14ac:dyDescent="0.2">
      <c r="B489" s="1"/>
      <c r="C489" s="1"/>
      <c r="D489" s="1"/>
      <c r="E489" s="1"/>
      <c r="F489" s="1"/>
      <c r="G489" s="1"/>
      <c r="I489" s="1"/>
      <c r="K489" s="1"/>
      <c r="L489" s="1"/>
      <c r="M489" s="1"/>
      <c r="N489" s="1"/>
    </row>
    <row r="490" spans="2:14" ht="12.75" hidden="1" x14ac:dyDescent="0.2">
      <c r="B490" s="1"/>
      <c r="C490" s="1"/>
      <c r="D490" s="1"/>
      <c r="E490" s="1"/>
      <c r="F490" s="1"/>
      <c r="G490" s="1"/>
      <c r="I490" s="1"/>
      <c r="K490" s="1"/>
      <c r="L490" s="1"/>
      <c r="M490" s="1"/>
      <c r="N490" s="1"/>
    </row>
    <row r="491" spans="2:14" ht="12.75" hidden="1" x14ac:dyDescent="0.2">
      <c r="B491" s="1"/>
      <c r="C491" s="1"/>
      <c r="D491" s="1"/>
      <c r="E491" s="1"/>
      <c r="F491" s="1"/>
      <c r="G491" s="1"/>
      <c r="I491" s="1"/>
      <c r="K491" s="1"/>
      <c r="L491" s="1"/>
      <c r="M491" s="1"/>
      <c r="N491" s="1"/>
    </row>
    <row r="492" spans="2:14" ht="12.75" hidden="1" x14ac:dyDescent="0.2">
      <c r="B492" s="1"/>
      <c r="C492" s="1"/>
      <c r="D492" s="1"/>
      <c r="E492" s="1"/>
      <c r="F492" s="1"/>
      <c r="G492" s="1"/>
      <c r="I492" s="1"/>
      <c r="K492" s="1"/>
      <c r="L492" s="1"/>
      <c r="M492" s="1"/>
      <c r="N492" s="1"/>
    </row>
    <row r="493" spans="2:14" ht="12.75" hidden="1" x14ac:dyDescent="0.2">
      <c r="B493" s="1"/>
      <c r="C493" s="1"/>
      <c r="D493" s="1"/>
      <c r="E493" s="1"/>
      <c r="F493" s="1"/>
      <c r="G493" s="1"/>
      <c r="I493" s="1"/>
      <c r="K493" s="1"/>
      <c r="L493" s="1"/>
      <c r="M493" s="1"/>
      <c r="N493" s="1"/>
    </row>
    <row r="494" spans="2:14" ht="12.75" hidden="1" x14ac:dyDescent="0.2">
      <c r="B494" s="1"/>
      <c r="C494" s="1"/>
      <c r="D494" s="1"/>
      <c r="E494" s="1"/>
      <c r="F494" s="1"/>
      <c r="G494" s="1"/>
      <c r="I494" s="1"/>
      <c r="K494" s="1"/>
      <c r="L494" s="1"/>
      <c r="M494" s="1"/>
      <c r="N494" s="1"/>
    </row>
    <row r="495" spans="2:14" ht="12.75" hidden="1" x14ac:dyDescent="0.2">
      <c r="B495" s="1"/>
      <c r="C495" s="1"/>
      <c r="D495" s="1"/>
      <c r="E495" s="1"/>
      <c r="F495" s="1"/>
      <c r="G495" s="1"/>
      <c r="I495" s="1"/>
      <c r="K495" s="1"/>
      <c r="L495" s="1"/>
      <c r="M495" s="1"/>
      <c r="N495" s="1"/>
    </row>
    <row r="496" spans="2:14" ht="12.75" x14ac:dyDescent="0.2">
      <c r="B496" s="1"/>
      <c r="C496" s="1"/>
      <c r="D496" s="1"/>
      <c r="E496" s="1"/>
      <c r="F496" s="1"/>
      <c r="G496" s="1"/>
      <c r="I496" s="1"/>
      <c r="K496" s="1"/>
      <c r="L496" s="1"/>
      <c r="M496" s="1"/>
      <c r="N496" s="1"/>
    </row>
    <row r="497" spans="1:14" ht="12.75" x14ac:dyDescent="0.2">
      <c r="A497" s="404" t="s">
        <v>464</v>
      </c>
      <c r="B497" s="1"/>
      <c r="C497" s="403">
        <f>C9+C19+C29+C30+C55+C76+C93+C139+C165+C210+C226+C238+C246+C259+C279+C293+C334+C345+C354+C443+C444</f>
        <v>5981189404</v>
      </c>
      <c r="D497" s="403">
        <f>D9+D19+D29+D30+D55+D76+D93+D139+D165+D210+D226+D238+D246+D259+D279+D293+D334+D345+D354+D443+D444</f>
        <v>5606798357</v>
      </c>
      <c r="E497" s="28">
        <f>C497-D497</f>
        <v>374391047</v>
      </c>
      <c r="F497" s="1"/>
      <c r="G497" s="1"/>
      <c r="I497" s="1"/>
      <c r="K497" s="1"/>
      <c r="L497" s="1"/>
      <c r="M497" s="1"/>
      <c r="N497" s="1"/>
    </row>
    <row r="498" spans="1:14" ht="12.75" x14ac:dyDescent="0.2">
      <c r="B498" s="1"/>
      <c r="C498" s="1"/>
      <c r="D498" s="1"/>
      <c r="E498" s="1"/>
      <c r="F498" s="1"/>
      <c r="G498" s="1"/>
      <c r="I498" s="1"/>
      <c r="K498" s="1"/>
      <c r="L498" s="1"/>
      <c r="M498" s="1"/>
      <c r="N498" s="1"/>
    </row>
    <row r="499" spans="1:14" ht="12.75" x14ac:dyDescent="0.2">
      <c r="B499" s="1"/>
      <c r="C499" s="1"/>
      <c r="D499" s="1"/>
      <c r="E499" s="1"/>
      <c r="F499" s="1"/>
      <c r="G499" s="1"/>
      <c r="I499" s="1"/>
      <c r="K499" s="1"/>
      <c r="L499" s="1"/>
      <c r="M499" s="1"/>
      <c r="N499" s="1"/>
    </row>
    <row r="500" spans="1:14" ht="12.75" x14ac:dyDescent="0.2">
      <c r="B500" s="1"/>
      <c r="C500" s="1"/>
      <c r="D500" s="1"/>
      <c r="E500" s="1"/>
      <c r="F500" s="1"/>
      <c r="G500" s="1"/>
      <c r="I500" s="1"/>
      <c r="K500" s="1"/>
      <c r="L500" s="1"/>
      <c r="M500" s="1"/>
      <c r="N500" s="1"/>
    </row>
    <row r="501" spans="1:14" ht="12.75" x14ac:dyDescent="0.2">
      <c r="B501" s="1"/>
      <c r="C501" s="1"/>
      <c r="D501" s="1"/>
      <c r="E501" s="1"/>
      <c r="F501" s="1"/>
      <c r="G501" s="1"/>
      <c r="I501" s="1"/>
      <c r="K501" s="1"/>
      <c r="L501" s="1"/>
      <c r="M501" s="1"/>
      <c r="N501" s="1"/>
    </row>
    <row r="502" spans="1:14" ht="12.75" x14ac:dyDescent="0.2">
      <c r="B502" s="1"/>
      <c r="C502" s="1"/>
      <c r="D502" s="1"/>
      <c r="E502" s="1"/>
      <c r="F502" s="1"/>
      <c r="G502" s="1"/>
      <c r="I502" s="1"/>
      <c r="K502" s="1"/>
      <c r="L502" s="1"/>
      <c r="M502" s="1"/>
      <c r="N502" s="1"/>
    </row>
    <row r="506" spans="1:14" ht="12.75" x14ac:dyDescent="0.2">
      <c r="B506" s="1"/>
      <c r="C506" s="1"/>
      <c r="D506" s="1"/>
      <c r="E506" s="1"/>
      <c r="F506" s="1"/>
      <c r="G506" s="1"/>
      <c r="I506" s="1"/>
      <c r="K506" s="1"/>
      <c r="L506" s="1"/>
      <c r="M506" s="1"/>
      <c r="N506" s="1"/>
    </row>
  </sheetData>
  <protectedRanges>
    <protectedRange password="C7A1" sqref="A71" name="Rango1_10_2_1_1_1_1_1_1_2_1"/>
  </protectedRanges>
  <mergeCells count="241">
    <mergeCell ref="A10:B10"/>
    <mergeCell ref="A11:I11"/>
    <mergeCell ref="B12:I12"/>
    <mergeCell ref="B13:I13"/>
    <mergeCell ref="B14:I14"/>
    <mergeCell ref="B15:I15"/>
    <mergeCell ref="A1:I1"/>
    <mergeCell ref="A2:I2"/>
    <mergeCell ref="B3:I3"/>
    <mergeCell ref="B4:I4"/>
    <mergeCell ref="B5:I5"/>
    <mergeCell ref="B6:I6"/>
    <mergeCell ref="B25:I25"/>
    <mergeCell ref="B26:I26"/>
    <mergeCell ref="B31:I31"/>
    <mergeCell ref="B32:I32"/>
    <mergeCell ref="B33:I33"/>
    <mergeCell ref="B34:I34"/>
    <mergeCell ref="B16:I16"/>
    <mergeCell ref="A20:B20"/>
    <mergeCell ref="A21:I21"/>
    <mergeCell ref="B22:I22"/>
    <mergeCell ref="B23:I23"/>
    <mergeCell ref="B24:I24"/>
    <mergeCell ref="B49:I49"/>
    <mergeCell ref="B50:I50"/>
    <mergeCell ref="B51:I51"/>
    <mergeCell ref="B52:I52"/>
    <mergeCell ref="B53:I53"/>
    <mergeCell ref="A62:B62"/>
    <mergeCell ref="B35:I35"/>
    <mergeCell ref="B40:I40"/>
    <mergeCell ref="B41:I41"/>
    <mergeCell ref="B42:I42"/>
    <mergeCell ref="B43:I43"/>
    <mergeCell ref="B44:I44"/>
    <mergeCell ref="B77:I77"/>
    <mergeCell ref="B78:I78"/>
    <mergeCell ref="B79:I79"/>
    <mergeCell ref="B80:I80"/>
    <mergeCell ref="B81:I81"/>
    <mergeCell ref="B94:I94"/>
    <mergeCell ref="A63:I63"/>
    <mergeCell ref="B64:I64"/>
    <mergeCell ref="B65:I65"/>
    <mergeCell ref="B66:I66"/>
    <mergeCell ref="B67:I67"/>
    <mergeCell ref="B68:I68"/>
    <mergeCell ref="B103:I103"/>
    <mergeCell ref="B104:I104"/>
    <mergeCell ref="B105:I105"/>
    <mergeCell ref="B110:I110"/>
    <mergeCell ref="B111:I111"/>
    <mergeCell ref="B112:I112"/>
    <mergeCell ref="B95:I95"/>
    <mergeCell ref="B96:I96"/>
    <mergeCell ref="B97:I97"/>
    <mergeCell ref="B98:I98"/>
    <mergeCell ref="B101:I101"/>
    <mergeCell ref="B102:I102"/>
    <mergeCell ref="B124:I124"/>
    <mergeCell ref="A128:B128"/>
    <mergeCell ref="A129:I129"/>
    <mergeCell ref="B130:I130"/>
    <mergeCell ref="B131:I131"/>
    <mergeCell ref="B132:I132"/>
    <mergeCell ref="B113:I113"/>
    <mergeCell ref="B114:I114"/>
    <mergeCell ref="B120:I120"/>
    <mergeCell ref="B121:I121"/>
    <mergeCell ref="B122:I122"/>
    <mergeCell ref="B123:I123"/>
    <mergeCell ref="B145:I145"/>
    <mergeCell ref="B149:I149"/>
    <mergeCell ref="B150:I150"/>
    <mergeCell ref="B151:I151"/>
    <mergeCell ref="B152:I152"/>
    <mergeCell ref="B153:I153"/>
    <mergeCell ref="B133:I133"/>
    <mergeCell ref="B134:I134"/>
    <mergeCell ref="B141:I141"/>
    <mergeCell ref="B142:I142"/>
    <mergeCell ref="B143:I143"/>
    <mergeCell ref="B144:I144"/>
    <mergeCell ref="B173:I173"/>
    <mergeCell ref="A175:I175"/>
    <mergeCell ref="A182:I182"/>
    <mergeCell ref="A190:H190"/>
    <mergeCell ref="A194:H194"/>
    <mergeCell ref="A200:H200"/>
    <mergeCell ref="A167:B167"/>
    <mergeCell ref="A168:I168"/>
    <mergeCell ref="B169:I169"/>
    <mergeCell ref="B170:I170"/>
    <mergeCell ref="B171:I171"/>
    <mergeCell ref="B172:I172"/>
    <mergeCell ref="A227:B227"/>
    <mergeCell ref="B228:I228"/>
    <mergeCell ref="B229:I229"/>
    <mergeCell ref="B230:I230"/>
    <mergeCell ref="B231:I231"/>
    <mergeCell ref="B232:I232"/>
    <mergeCell ref="A211:B211"/>
    <mergeCell ref="B212:I212"/>
    <mergeCell ref="B213:I213"/>
    <mergeCell ref="B214:I214"/>
    <mergeCell ref="B215:I215"/>
    <mergeCell ref="B216:I216"/>
    <mergeCell ref="A247:B247"/>
    <mergeCell ref="B248:I248"/>
    <mergeCell ref="B249:I249"/>
    <mergeCell ref="B250:I250"/>
    <mergeCell ref="B251:I251"/>
    <mergeCell ref="B252:I252"/>
    <mergeCell ref="A239:B239"/>
    <mergeCell ref="B240:I240"/>
    <mergeCell ref="B241:I241"/>
    <mergeCell ref="B242:I242"/>
    <mergeCell ref="B243:I243"/>
    <mergeCell ref="B244:I244"/>
    <mergeCell ref="B265:I265"/>
    <mergeCell ref="B266:I266"/>
    <mergeCell ref="B267:I267"/>
    <mergeCell ref="A271:B271"/>
    <mergeCell ref="A272:I272"/>
    <mergeCell ref="B273:I273"/>
    <mergeCell ref="B253:I253"/>
    <mergeCell ref="A260:B260"/>
    <mergeCell ref="A261:B261"/>
    <mergeCell ref="A262:I262"/>
    <mergeCell ref="B263:I263"/>
    <mergeCell ref="B264:I264"/>
    <mergeCell ref="B283:I283"/>
    <mergeCell ref="B284:I284"/>
    <mergeCell ref="B285:I285"/>
    <mergeCell ref="B286:I286"/>
    <mergeCell ref="B287:I287"/>
    <mergeCell ref="A294:B294"/>
    <mergeCell ref="B274:I274"/>
    <mergeCell ref="B275:I275"/>
    <mergeCell ref="B276:I276"/>
    <mergeCell ref="B277:I277"/>
    <mergeCell ref="A281:B281"/>
    <mergeCell ref="A282:I282"/>
    <mergeCell ref="A302:I302"/>
    <mergeCell ref="A311:I311"/>
    <mergeCell ref="A324:I324"/>
    <mergeCell ref="A327:I327"/>
    <mergeCell ref="A337:B337"/>
    <mergeCell ref="A338:I338"/>
    <mergeCell ref="A295:I295"/>
    <mergeCell ref="B296:I296"/>
    <mergeCell ref="B297:I297"/>
    <mergeCell ref="B298:I298"/>
    <mergeCell ref="B299:I299"/>
    <mergeCell ref="B300:I300"/>
    <mergeCell ref="A347:I347"/>
    <mergeCell ref="B348:I348"/>
    <mergeCell ref="B349:I349"/>
    <mergeCell ref="B350:I350"/>
    <mergeCell ref="B351:I351"/>
    <mergeCell ref="B352:I352"/>
    <mergeCell ref="B339:I339"/>
    <mergeCell ref="B340:I340"/>
    <mergeCell ref="B341:I341"/>
    <mergeCell ref="B342:I342"/>
    <mergeCell ref="B343:I343"/>
    <mergeCell ref="A346:B346"/>
    <mergeCell ref="B361:I361"/>
    <mergeCell ref="A364:B364"/>
    <mergeCell ref="A365:I365"/>
    <mergeCell ref="B366:I366"/>
    <mergeCell ref="B367:I367"/>
    <mergeCell ref="B368:I368"/>
    <mergeCell ref="A355:B355"/>
    <mergeCell ref="A356:I356"/>
    <mergeCell ref="B357:I357"/>
    <mergeCell ref="B358:I358"/>
    <mergeCell ref="B359:I359"/>
    <mergeCell ref="B360:I360"/>
    <mergeCell ref="B379:I379"/>
    <mergeCell ref="B380:I380"/>
    <mergeCell ref="A382:I382"/>
    <mergeCell ref="A386:I386"/>
    <mergeCell ref="A394:I394"/>
    <mergeCell ref="A399:B399"/>
    <mergeCell ref="B369:I369"/>
    <mergeCell ref="B370:I370"/>
    <mergeCell ref="A375:B375"/>
    <mergeCell ref="B376:I376"/>
    <mergeCell ref="B377:I377"/>
    <mergeCell ref="B378:I378"/>
    <mergeCell ref="B411:I411"/>
    <mergeCell ref="B412:I412"/>
    <mergeCell ref="B413:I413"/>
    <mergeCell ref="B414:I414"/>
    <mergeCell ref="B415:I415"/>
    <mergeCell ref="A418:B418"/>
    <mergeCell ref="B400:I400"/>
    <mergeCell ref="B401:I401"/>
    <mergeCell ref="B402:I402"/>
    <mergeCell ref="B403:I403"/>
    <mergeCell ref="B404:I404"/>
    <mergeCell ref="A410:B410"/>
    <mergeCell ref="A456:B456"/>
    <mergeCell ref="A426:I426"/>
    <mergeCell ref="A432:I432"/>
    <mergeCell ref="A434:I434"/>
    <mergeCell ref="A445:B445"/>
    <mergeCell ref="A446:B446"/>
    <mergeCell ref="A449:B449"/>
    <mergeCell ref="B419:I419"/>
    <mergeCell ref="B420:I420"/>
    <mergeCell ref="B421:I421"/>
    <mergeCell ref="B422:I422"/>
    <mergeCell ref="B423:I423"/>
    <mergeCell ref="A425:I425"/>
    <mergeCell ref="A139:A140"/>
    <mergeCell ref="A469:B469"/>
    <mergeCell ref="A470:B470"/>
    <mergeCell ref="A471:B471"/>
    <mergeCell ref="A472:B472"/>
    <mergeCell ref="A473:B473"/>
    <mergeCell ref="A474:B474"/>
    <mergeCell ref="A463:B463"/>
    <mergeCell ref="A464:B464"/>
    <mergeCell ref="A465:B465"/>
    <mergeCell ref="A466:B466"/>
    <mergeCell ref="A467:B467"/>
    <mergeCell ref="A468:B468"/>
    <mergeCell ref="A457:B457"/>
    <mergeCell ref="A458:B458"/>
    <mergeCell ref="A459:B459"/>
    <mergeCell ref="A460:B460"/>
    <mergeCell ref="A461:B461"/>
    <mergeCell ref="A462:B462"/>
    <mergeCell ref="A451:F451"/>
    <mergeCell ref="A452:B452"/>
    <mergeCell ref="A453:B453"/>
    <mergeCell ref="A454:B454"/>
    <mergeCell ref="A455:B4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9"/>
  <sheetViews>
    <sheetView topLeftCell="A4" workbookViewId="0">
      <selection activeCell="B8" sqref="B8:E8"/>
    </sheetView>
  </sheetViews>
  <sheetFormatPr baseColWidth="10" defaultRowHeight="18.75" x14ac:dyDescent="0.3"/>
  <cols>
    <col min="2" max="5" width="22" style="487" customWidth="1"/>
    <col min="6" max="6" width="19.42578125" bestFit="1" customWidth="1"/>
  </cols>
  <sheetData>
    <row r="8" spans="2:6" ht="50.25" customHeight="1" x14ac:dyDescent="0.25">
      <c r="B8" s="484">
        <v>281172621</v>
      </c>
      <c r="C8" s="484">
        <v>126218307</v>
      </c>
      <c r="D8" s="485">
        <f>B8-C8</f>
        <v>154954314</v>
      </c>
      <c r="E8" s="486">
        <f>D8/B8</f>
        <v>0.55110029365199109</v>
      </c>
    </row>
    <row r="10" spans="2:6" x14ac:dyDescent="0.3">
      <c r="C10" s="487">
        <v>10366446</v>
      </c>
    </row>
    <row r="12" spans="2:6" x14ac:dyDescent="0.3">
      <c r="B12" s="489">
        <f>B8+D14</f>
        <v>298394621</v>
      </c>
      <c r="C12" s="487">
        <v>143440307</v>
      </c>
      <c r="D12" s="487">
        <v>27588446</v>
      </c>
      <c r="E12" s="487">
        <f>C12-D12</f>
        <v>115851861</v>
      </c>
      <c r="F12" s="488">
        <f>E12+C10</f>
        <v>126218307</v>
      </c>
    </row>
    <row r="14" spans="2:6" x14ac:dyDescent="0.3">
      <c r="D14" s="488">
        <f>D12-C10</f>
        <v>17222000</v>
      </c>
    </row>
    <row r="16" spans="2:6" x14ac:dyDescent="0.3">
      <c r="D16" s="492">
        <v>47318121</v>
      </c>
    </row>
    <row r="19" spans="4:4" x14ac:dyDescent="0.3">
      <c r="D19" s="489">
        <f>D16+D14</f>
        <v>64540121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Albeiro Gonzalez Londono</dc:creator>
  <cp:lastModifiedBy>573146086708</cp:lastModifiedBy>
  <cp:lastPrinted>2020-04-24T15:04:35Z</cp:lastPrinted>
  <dcterms:created xsi:type="dcterms:W3CDTF">2018-01-23T13:07:01Z</dcterms:created>
  <dcterms:modified xsi:type="dcterms:W3CDTF">2020-05-06T16:32:13Z</dcterms:modified>
</cp:coreProperties>
</file>